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3"/>
  <workbookPr showInkAnnotation="0" autoCompressPictures="0"/>
  <mc:AlternateContent xmlns:mc="http://schemas.openxmlformats.org/markup-compatibility/2006">
    <mc:Choice Requires="x15">
      <x15ac:absPath xmlns:x15ac="http://schemas.microsoft.com/office/spreadsheetml/2010/11/ac" url="/Users/admin/Documents/GPLA - Docs/NA : DEVIS &amp; FACTURES/"/>
    </mc:Choice>
  </mc:AlternateContent>
  <xr:revisionPtr revIDLastSave="0" documentId="13_ncr:1_{9934C47A-6866-2743-A0A3-80F00B7D288B}" xr6:coauthVersionLast="47" xr6:coauthVersionMax="47" xr10:uidLastSave="{00000000-0000-0000-0000-000000000000}"/>
  <bookViews>
    <workbookView xWindow="3100" yWindow="680" windowWidth="36500" windowHeight="23420" tabRatio="975" firstSheet="3" activeTab="6" xr2:uid="{00000000-000D-0000-FFFF-FFFF00000000}"/>
  </bookViews>
  <sheets>
    <sheet name="A Lire" sheetId="8" r:id="rId1"/>
    <sheet name="Base clients" sheetId="24" r:id="rId2"/>
    <sheet name="Votre profil" sheetId="20" r:id="rId3"/>
    <sheet name="Devis-Fact" sheetId="7" r:id="rId4"/>
    <sheet name="Facture d'acompte" sheetId="12" r:id="rId5"/>
    <sheet name="Annexe CGV" sheetId="11" r:id="rId6"/>
    <sheet name="Temps passé" sheetId="3" r:id="rId7"/>
    <sheet name="Portraits corpo &amp; catal objets" sheetId="15" r:id="rId8"/>
    <sheet name="Droit web photo video" sheetId="30" r:id="rId9"/>
    <sheet name="Droits print &amp; expo " sheetId="10" r:id="rId10"/>
    <sheet name="Droit dossier de presse" sheetId="37" r:id="rId11"/>
    <sheet name="Droits commande publicité" sheetId="26" r:id="rId12"/>
    <sheet name="Droit packaging" sheetId="36" r:id="rId13"/>
    <sheet name="Liste frais" sheetId="14" r:id="rId14"/>
    <sheet name="Frais de déplacement" sheetId="4" r:id="rId15"/>
    <sheet name="Equipe et Location" sheetId="19" r:id="rId16"/>
    <sheet name="Evaluation loc. studio" sheetId="32" r:id="rId17"/>
    <sheet name="Fiche de prod" sheetId="29" r:id="rId18"/>
    <sheet name="Retro-Planning" sheetId="31" r:id="rId19"/>
    <sheet name="Graphique Devis" sheetId="17" r:id="rId20"/>
    <sheet name="Bareme mannequin" sheetId="28" r:id="rId21"/>
    <sheet name="Calcul intérêt de retard" sheetId="34" r:id="rId22"/>
    <sheet name="Feuil1" sheetId="35" r:id="rId23"/>
  </sheets>
  <externalReferences>
    <externalReference r:id="rId24"/>
  </externalReferences>
  <definedNames>
    <definedName name="comments" localSheetId="21">'Calcul intérêt de retard'!$A$43</definedName>
    <definedName name="DExpo">'Droits print &amp; expo '!$P$24</definedName>
    <definedName name="DPress">'Droits print &amp; expo '!#REF!</definedName>
    <definedName name="DPrint">'Droits print &amp; expo '!$P$11</definedName>
    <definedName name="DPrintTot">'Droits print &amp; expo '!$L$33</definedName>
    <definedName name="FdeFrais">'Liste frais'!$B$1</definedName>
    <definedName name="imprevus">'Frais de déplacement'!$P$4</definedName>
    <definedName name="perso" localSheetId="1">'[1]Temps passé'!#REF!</definedName>
    <definedName name="Print_Area_1" localSheetId="1">#REF!</definedName>
    <definedName name="Print_Area_2" localSheetId="1">#REF!</definedName>
    <definedName name="Prix_moyen___pdv">'Portraits corpo &amp; catal objets'!$J$37</definedName>
    <definedName name="PrixPort">'Portraits corpo &amp; catal objets'!$J$55</definedName>
    <definedName name="PrixProd">'Portraits corpo &amp; catal objets'!$J$37</definedName>
    <definedName name="RemPort">'Portraits corpo &amp; catal objets'!$K$55</definedName>
    <definedName name="RemProd">'Portraits corpo &amp; catal objets'!$K$37</definedName>
    <definedName name="TpsDet">'Portraits corpo &amp; catal objets'!$M$49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H15" i="3" l="1"/>
  <c r="H16" i="3"/>
  <c r="H17" i="3"/>
  <c r="H18" i="3"/>
  <c r="H14" i="3"/>
  <c r="G3" i="30" l="1"/>
  <c r="S4" i="30"/>
  <c r="R4" i="30"/>
  <c r="Q4" i="30"/>
  <c r="P4" i="30"/>
  <c r="O4" i="30"/>
  <c r="A43" i="7"/>
  <c r="V14" i="3"/>
  <c r="U14" i="3"/>
  <c r="T14" i="3"/>
  <c r="S15" i="3"/>
  <c r="S16" i="3"/>
  <c r="S17" i="3"/>
  <c r="S18" i="3"/>
  <c r="S14" i="3"/>
  <c r="A27" i="11"/>
  <c r="A28" i="11"/>
  <c r="A24" i="11"/>
  <c r="A26" i="11"/>
  <c r="A25" i="11"/>
  <c r="A36" i="11"/>
  <c r="A33" i="11"/>
  <c r="A23" i="11"/>
  <c r="A6" i="11"/>
  <c r="A1" i="11"/>
  <c r="A34" i="11"/>
  <c r="A37" i="11"/>
  <c r="A55" i="11"/>
  <c r="A45" i="11"/>
  <c r="A44" i="11"/>
  <c r="A4" i="11"/>
  <c r="AB29" i="28"/>
  <c r="AB30" i="28" s="1"/>
  <c r="AB32" i="28" s="1"/>
  <c r="X29" i="28"/>
  <c r="X30" i="28" s="1"/>
  <c r="X32" i="28" s="1"/>
  <c r="T29" i="28"/>
  <c r="T30" i="28"/>
  <c r="T32" i="28" s="1"/>
  <c r="T33" i="28" s="1"/>
  <c r="T34" i="28" s="1"/>
  <c r="T39" i="28" s="1"/>
  <c r="P29" i="28"/>
  <c r="P30" i="28" s="1"/>
  <c r="P32" i="28" s="1"/>
  <c r="D7" i="28"/>
  <c r="D8" i="28" s="1"/>
  <c r="D10" i="28" s="1"/>
  <c r="D29" i="28"/>
  <c r="D30" i="28" s="1"/>
  <c r="D32" i="28" s="1"/>
  <c r="H29" i="28"/>
  <c r="H30" i="28" s="1"/>
  <c r="H32" i="28" s="1"/>
  <c r="H37" i="28" s="1"/>
  <c r="L29" i="28"/>
  <c r="L30" i="28" s="1"/>
  <c r="L32" i="28" s="1"/>
  <c r="L33" i="28" s="1"/>
  <c r="H7" i="28"/>
  <c r="H8" i="28" s="1"/>
  <c r="H10" i="28" s="1"/>
  <c r="L7" i="28"/>
  <c r="L8" i="28"/>
  <c r="L10" i="28" s="1"/>
  <c r="L15" i="28" s="1"/>
  <c r="P7" i="28"/>
  <c r="P8" i="28" s="1"/>
  <c r="P10" i="28" s="1"/>
  <c r="T6" i="28"/>
  <c r="T7" i="28" s="1"/>
  <c r="T8" i="28" s="1"/>
  <c r="T10" i="28" s="1"/>
  <c r="X6" i="28"/>
  <c r="X7" i="28" s="1"/>
  <c r="X8" i="28" s="1"/>
  <c r="X10" i="28" s="1"/>
  <c r="AB6" i="28"/>
  <c r="AB7" i="28"/>
  <c r="AB8" i="28" s="1"/>
  <c r="AB10" i="28" s="1"/>
  <c r="AB31" i="28"/>
  <c r="AB36" i="28"/>
  <c r="AB42" i="28" s="1"/>
  <c r="X31" i="28"/>
  <c r="X36" i="28"/>
  <c r="X42" i="28"/>
  <c r="T31" i="28"/>
  <c r="T36" i="28" s="1"/>
  <c r="T42" i="28" s="1"/>
  <c r="P31" i="28"/>
  <c r="P36" i="28" s="1"/>
  <c r="P42" i="28" s="1"/>
  <c r="L31" i="28"/>
  <c r="L36" i="28"/>
  <c r="L42" i="28"/>
  <c r="H31" i="28"/>
  <c r="H36" i="28"/>
  <c r="H42" i="28"/>
  <c r="D31" i="28"/>
  <c r="D36" i="28" s="1"/>
  <c r="D42" i="28" s="1"/>
  <c r="B36" i="28"/>
  <c r="AB9" i="28"/>
  <c r="AB14" i="28" s="1"/>
  <c r="AB20" i="28" s="1"/>
  <c r="X9" i="28"/>
  <c r="X14" i="28" s="1"/>
  <c r="X20" i="28" s="1"/>
  <c r="T9" i="28"/>
  <c r="T14" i="28"/>
  <c r="T20" i="28" s="1"/>
  <c r="P9" i="28"/>
  <c r="P14" i="28"/>
  <c r="P20" i="28" s="1"/>
  <c r="L9" i="28"/>
  <c r="L14" i="28" s="1"/>
  <c r="L20" i="28" s="1"/>
  <c r="H9" i="28"/>
  <c r="H14" i="28"/>
  <c r="H20" i="28" s="1"/>
  <c r="D9" i="28"/>
  <c r="D14" i="28"/>
  <c r="D20" i="28" s="1"/>
  <c r="B14" i="28"/>
  <c r="B20" i="28"/>
  <c r="G19" i="34"/>
  <c r="D4" i="34"/>
  <c r="E23" i="34" s="1"/>
  <c r="G15" i="34"/>
  <c r="H15" i="34"/>
  <c r="D73" i="7"/>
  <c r="D72" i="7"/>
  <c r="E35" i="7"/>
  <c r="E27" i="7"/>
  <c r="C27" i="7" s="1"/>
  <c r="B73" i="7"/>
  <c r="A39" i="7"/>
  <c r="E84" i="7"/>
  <c r="E77" i="7"/>
  <c r="A82" i="7"/>
  <c r="A81" i="7"/>
  <c r="C72" i="7"/>
  <c r="B11" i="7"/>
  <c r="B12" i="7" s="1"/>
  <c r="B88" i="7"/>
  <c r="A83" i="7"/>
  <c r="B72" i="7"/>
  <c r="C81" i="7"/>
  <c r="B81" i="7"/>
  <c r="A86" i="7"/>
  <c r="F69" i="7"/>
  <c r="F68" i="7"/>
  <c r="F67" i="7"/>
  <c r="F66" i="7"/>
  <c r="A44" i="7"/>
  <c r="A35" i="7"/>
  <c r="D44" i="7"/>
  <c r="C44" i="7"/>
  <c r="B54" i="7"/>
  <c r="A1" i="7"/>
  <c r="C13" i="11" s="1"/>
  <c r="A57" i="7"/>
  <c r="D65" i="7"/>
  <c r="A37" i="7"/>
  <c r="D75" i="7"/>
  <c r="C73" i="7"/>
  <c r="A53" i="7"/>
  <c r="D68" i="7"/>
  <c r="D47" i="7"/>
  <c r="B87" i="7"/>
  <c r="E5" i="7"/>
  <c r="D4" i="7"/>
  <c r="D66" i="7"/>
  <c r="C55" i="7"/>
  <c r="C85" i="7"/>
  <c r="D84" i="7"/>
  <c r="A9" i="7"/>
  <c r="D1" i="14" s="1"/>
  <c r="A10" i="7"/>
  <c r="D70" i="7"/>
  <c r="A17" i="7"/>
  <c r="C6" i="7"/>
  <c r="E6" i="7"/>
  <c r="D6" i="7"/>
  <c r="A4" i="7"/>
  <c r="A3" i="7"/>
  <c r="C8" i="7"/>
  <c r="D77" i="7"/>
  <c r="B55" i="7"/>
  <c r="D3" i="7"/>
  <c r="C60" i="7"/>
  <c r="D60" i="7"/>
  <c r="B79" i="7"/>
  <c r="B31" i="7"/>
  <c r="D31" i="7"/>
  <c r="A6" i="7"/>
  <c r="C12" i="7"/>
  <c r="C10" i="7"/>
  <c r="C11" i="7"/>
  <c r="A5" i="7"/>
  <c r="C15" i="7"/>
  <c r="A12" i="7"/>
  <c r="C79" i="7"/>
  <c r="D79" i="7"/>
  <c r="E2" i="7"/>
  <c r="E1" i="7"/>
  <c r="A31" i="7"/>
  <c r="A2" i="7"/>
  <c r="E3" i="7"/>
  <c r="A55" i="7"/>
  <c r="A56" i="7"/>
  <c r="A54" i="7"/>
  <c r="B56" i="7"/>
  <c r="D85" i="7"/>
  <c r="D67" i="7"/>
  <c r="B20" i="12" s="1"/>
  <c r="C31" i="7"/>
  <c r="E85" i="7"/>
  <c r="B30" i="7"/>
  <c r="D30" i="7"/>
  <c r="D29" i="7"/>
  <c r="B29" i="7"/>
  <c r="C30" i="7"/>
  <c r="E60" i="7"/>
  <c r="E44" i="7"/>
  <c r="A29" i="7"/>
  <c r="C29" i="7"/>
  <c r="A27" i="7"/>
  <c r="B27" i="7"/>
  <c r="A47" i="7"/>
  <c r="A4" i="17" s="1"/>
  <c r="D51" i="7"/>
  <c r="E55" i="7"/>
  <c r="C40" i="7"/>
  <c r="E72" i="7"/>
  <c r="E24" i="12" s="1"/>
  <c r="E73" i="7"/>
  <c r="E25" i="12" s="1"/>
  <c r="E75" i="7"/>
  <c r="E26" i="12" s="1"/>
  <c r="J10" i="37"/>
  <c r="I10" i="37"/>
  <c r="K10" i="37"/>
  <c r="L10" i="37"/>
  <c r="L26" i="37" s="1"/>
  <c r="B40" i="7" s="1"/>
  <c r="I11" i="37"/>
  <c r="K11" i="37" s="1"/>
  <c r="L11" i="37"/>
  <c r="L12" i="37"/>
  <c r="L13" i="37"/>
  <c r="J14" i="37"/>
  <c r="I14" i="37"/>
  <c r="K14" i="37"/>
  <c r="L14" i="37"/>
  <c r="J15" i="37"/>
  <c r="I15" i="37"/>
  <c r="K15" i="37" s="1"/>
  <c r="L15" i="37"/>
  <c r="L16" i="37"/>
  <c r="L17" i="37"/>
  <c r="L18" i="37"/>
  <c r="L19" i="37"/>
  <c r="L20" i="37"/>
  <c r="L21" i="37"/>
  <c r="N10" i="37"/>
  <c r="N15" i="37"/>
  <c r="N11" i="37"/>
  <c r="N12" i="37"/>
  <c r="N13" i="37"/>
  <c r="N14" i="37"/>
  <c r="N16" i="37"/>
  <c r="N17" i="37"/>
  <c r="N18" i="37"/>
  <c r="N19" i="37"/>
  <c r="N20" i="37"/>
  <c r="N21" i="37"/>
  <c r="H10" i="37"/>
  <c r="M25" i="37"/>
  <c r="M24" i="37"/>
  <c r="M23" i="37"/>
  <c r="M22" i="37"/>
  <c r="M21" i="37"/>
  <c r="H21" i="37"/>
  <c r="J21" i="37"/>
  <c r="I21" i="37"/>
  <c r="K21" i="37"/>
  <c r="M20" i="37"/>
  <c r="H20" i="37"/>
  <c r="J20" i="37"/>
  <c r="I20" i="37"/>
  <c r="K20" i="37"/>
  <c r="M19" i="37"/>
  <c r="H19" i="37"/>
  <c r="J19" i="37"/>
  <c r="I19" i="37"/>
  <c r="K19" i="37" s="1"/>
  <c r="M18" i="37"/>
  <c r="H18" i="37"/>
  <c r="J18" i="37"/>
  <c r="I18" i="37"/>
  <c r="K18" i="37"/>
  <c r="M17" i="37"/>
  <c r="H17" i="37"/>
  <c r="J17" i="37"/>
  <c r="I17" i="37"/>
  <c r="K17" i="37"/>
  <c r="M16" i="37"/>
  <c r="H16" i="37"/>
  <c r="J16" i="37"/>
  <c r="I16" i="37"/>
  <c r="K16" i="37" s="1"/>
  <c r="M15" i="37"/>
  <c r="H15" i="37"/>
  <c r="M14" i="37"/>
  <c r="H14" i="37"/>
  <c r="M13" i="37"/>
  <c r="H13" i="37"/>
  <c r="J13" i="37"/>
  <c r="I13" i="37"/>
  <c r="K13" i="37" s="1"/>
  <c r="M12" i="37"/>
  <c r="H12" i="37"/>
  <c r="J12" i="37"/>
  <c r="I12" i="37"/>
  <c r="K12" i="37"/>
  <c r="M11" i="37"/>
  <c r="H11" i="37"/>
  <c r="J11" i="37"/>
  <c r="M10" i="37"/>
  <c r="L4" i="37"/>
  <c r="L27" i="37"/>
  <c r="L8" i="36"/>
  <c r="L9" i="36"/>
  <c r="L10" i="36"/>
  <c r="L11" i="36"/>
  <c r="L12" i="36"/>
  <c r="L13" i="36"/>
  <c r="L14" i="36"/>
  <c r="L15" i="36"/>
  <c r="L16" i="36"/>
  <c r="L17" i="36"/>
  <c r="L18" i="36"/>
  <c r="L19" i="36"/>
  <c r="L20" i="36"/>
  <c r="L21" i="36"/>
  <c r="L22" i="36"/>
  <c r="L23" i="36"/>
  <c r="H24" i="36"/>
  <c r="K24" i="36"/>
  <c r="L24" i="36"/>
  <c r="L25" i="36"/>
  <c r="L26" i="36"/>
  <c r="J24" i="36"/>
  <c r="E26" i="36"/>
  <c r="I26" i="36" s="1"/>
  <c r="E25" i="36"/>
  <c r="H22" i="36"/>
  <c r="J22" i="36"/>
  <c r="K22" i="36"/>
  <c r="H23" i="36"/>
  <c r="K23" i="36" s="1"/>
  <c r="J23" i="36"/>
  <c r="H25" i="36"/>
  <c r="K25" i="36" s="1"/>
  <c r="J25" i="36"/>
  <c r="H26" i="36"/>
  <c r="K26" i="36" s="1"/>
  <c r="J26" i="36"/>
  <c r="H21" i="36"/>
  <c r="J21" i="36"/>
  <c r="K21" i="36"/>
  <c r="H14" i="36"/>
  <c r="J14" i="36"/>
  <c r="K14" i="36"/>
  <c r="H19" i="36"/>
  <c r="K19" i="36" s="1"/>
  <c r="J19" i="36"/>
  <c r="G36" i="36"/>
  <c r="C36" i="36"/>
  <c r="M8" i="36"/>
  <c r="A27" i="36" s="1"/>
  <c r="M9" i="36"/>
  <c r="M10" i="36"/>
  <c r="M11" i="36"/>
  <c r="M12" i="36"/>
  <c r="M13" i="36"/>
  <c r="M14" i="36"/>
  <c r="M15" i="36"/>
  <c r="M16" i="36"/>
  <c r="M17" i="36"/>
  <c r="M18" i="36"/>
  <c r="M19" i="36"/>
  <c r="M20" i="36"/>
  <c r="M21" i="36"/>
  <c r="M22" i="36"/>
  <c r="M23" i="36"/>
  <c r="M24" i="36"/>
  <c r="M25" i="36"/>
  <c r="M26" i="36"/>
  <c r="I25" i="36"/>
  <c r="I24" i="36"/>
  <c r="I23" i="36"/>
  <c r="I22" i="36"/>
  <c r="I21" i="36"/>
  <c r="H20" i="36"/>
  <c r="J20" i="36"/>
  <c r="K20" i="36"/>
  <c r="I20" i="36"/>
  <c r="I19" i="36"/>
  <c r="H18" i="36"/>
  <c r="J18" i="36"/>
  <c r="K18" i="36"/>
  <c r="I18" i="36"/>
  <c r="H17" i="36"/>
  <c r="J17" i="36"/>
  <c r="K17" i="36"/>
  <c r="I17" i="36"/>
  <c r="H16" i="36"/>
  <c r="J16" i="36"/>
  <c r="K16" i="36"/>
  <c r="I16" i="36"/>
  <c r="H15" i="36"/>
  <c r="J15" i="36"/>
  <c r="K15" i="36"/>
  <c r="I15" i="36"/>
  <c r="I14" i="36"/>
  <c r="H13" i="36"/>
  <c r="K13" i="36" s="1"/>
  <c r="J13" i="36"/>
  <c r="I13" i="36"/>
  <c r="H12" i="36"/>
  <c r="J12" i="36"/>
  <c r="K12" i="36"/>
  <c r="I12" i="36"/>
  <c r="H11" i="36"/>
  <c r="K11" i="36" s="1"/>
  <c r="J11" i="36"/>
  <c r="I11" i="36"/>
  <c r="H10" i="36"/>
  <c r="K10" i="36" s="1"/>
  <c r="J10" i="36"/>
  <c r="I10" i="36"/>
  <c r="H9" i="36"/>
  <c r="K9" i="36" s="1"/>
  <c r="J9" i="36"/>
  <c r="I9" i="36"/>
  <c r="H8" i="36"/>
  <c r="K8" i="36" s="1"/>
  <c r="J8" i="36"/>
  <c r="I8" i="36"/>
  <c r="L3" i="36"/>
  <c r="P23" i="30"/>
  <c r="Q23" i="30"/>
  <c r="R23" i="30"/>
  <c r="D29" i="30"/>
  <c r="E29" i="30"/>
  <c r="E25" i="30"/>
  <c r="D25" i="30"/>
  <c r="J23" i="30"/>
  <c r="K23" i="30"/>
  <c r="Q28" i="30"/>
  <c r="Q27" i="30"/>
  <c r="S21" i="30"/>
  <c r="L21" i="30"/>
  <c r="S6" i="30"/>
  <c r="R6" i="30"/>
  <c r="Q6" i="30"/>
  <c r="P6" i="30"/>
  <c r="O6" i="30"/>
  <c r="N6" i="30"/>
  <c r="S5" i="30"/>
  <c r="R5" i="30"/>
  <c r="P5" i="30"/>
  <c r="Q5" i="30"/>
  <c r="O5" i="30"/>
  <c r="N5" i="30"/>
  <c r="G6" i="30"/>
  <c r="L5" i="30"/>
  <c r="K5" i="30"/>
  <c r="J5" i="30"/>
  <c r="I5" i="30"/>
  <c r="H5" i="30"/>
  <c r="J34" i="30"/>
  <c r="C37" i="7" s="1"/>
  <c r="R20" i="30"/>
  <c r="I20" i="30"/>
  <c r="K20" i="30"/>
  <c r="J20" i="30"/>
  <c r="D36" i="7" s="1"/>
  <c r="Q20" i="30"/>
  <c r="S18" i="30"/>
  <c r="L18" i="30"/>
  <c r="P20" i="30"/>
  <c r="C122" i="26"/>
  <c r="D122" i="26" s="1"/>
  <c r="F122" i="26"/>
  <c r="G122" i="26" s="1"/>
  <c r="A123" i="26"/>
  <c r="C123" i="26" s="1"/>
  <c r="D123" i="26"/>
  <c r="F123" i="26" s="1"/>
  <c r="G123" i="26" s="1"/>
  <c r="C124" i="26"/>
  <c r="D124" i="26"/>
  <c r="F124" i="26"/>
  <c r="G124" i="26"/>
  <c r="C125" i="26"/>
  <c r="D125" i="26"/>
  <c r="F125" i="26"/>
  <c r="G125" i="26" s="1"/>
  <c r="A127" i="26"/>
  <c r="A126" i="26"/>
  <c r="C126" i="26"/>
  <c r="D126" i="26"/>
  <c r="F126" i="26" s="1"/>
  <c r="G126" i="26"/>
  <c r="C127" i="26"/>
  <c r="D127" i="26" s="1"/>
  <c r="F127" i="26" s="1"/>
  <c r="G127" i="26" s="1"/>
  <c r="C128" i="26"/>
  <c r="D128" i="26" s="1"/>
  <c r="C129" i="26"/>
  <c r="D129" i="26" s="1"/>
  <c r="F129" i="26" s="1"/>
  <c r="G129" i="26"/>
  <c r="C130" i="26"/>
  <c r="D130" i="26"/>
  <c r="C131" i="26"/>
  <c r="D131" i="26" s="1"/>
  <c r="F131" i="26" s="1"/>
  <c r="G131" i="26" s="1"/>
  <c r="C132" i="26"/>
  <c r="D132" i="26"/>
  <c r="F132" i="26" s="1"/>
  <c r="G132" i="26"/>
  <c r="C133" i="26"/>
  <c r="D133" i="26" s="1"/>
  <c r="F133" i="26" s="1"/>
  <c r="G133" i="26"/>
  <c r="C134" i="26"/>
  <c r="D134" i="26"/>
  <c r="C135" i="26"/>
  <c r="D135" i="26" s="1"/>
  <c r="F135" i="26" s="1"/>
  <c r="G135" i="26"/>
  <c r="C136" i="26"/>
  <c r="D136" i="26"/>
  <c r="C137" i="26"/>
  <c r="D137" i="26" s="1"/>
  <c r="A57" i="26"/>
  <c r="A56" i="26"/>
  <c r="AF48" i="26"/>
  <c r="AF32" i="26"/>
  <c r="AF31" i="26"/>
  <c r="A16" i="26"/>
  <c r="A15" i="26"/>
  <c r="A14" i="26"/>
  <c r="B13" i="26" s="1"/>
  <c r="A13" i="26"/>
  <c r="A12" i="26"/>
  <c r="C12" i="26"/>
  <c r="D12" i="26" s="1"/>
  <c r="E12" i="26" s="1"/>
  <c r="C20" i="26"/>
  <c r="D20" i="26"/>
  <c r="C7" i="26"/>
  <c r="D7" i="26"/>
  <c r="F7" i="26" s="1"/>
  <c r="G7" i="26" s="1"/>
  <c r="B8" i="26"/>
  <c r="C8" i="26"/>
  <c r="D8" i="26"/>
  <c r="F8" i="26" s="1"/>
  <c r="G8" i="26" s="1"/>
  <c r="B9" i="26"/>
  <c r="C9" i="26"/>
  <c r="D9" i="26"/>
  <c r="F9" i="26" s="1"/>
  <c r="G9" i="26" s="1"/>
  <c r="C10" i="26"/>
  <c r="D10" i="26"/>
  <c r="F10" i="26"/>
  <c r="G10" i="26"/>
  <c r="B14" i="26"/>
  <c r="C14" i="26"/>
  <c r="D14" i="26"/>
  <c r="B15" i="26"/>
  <c r="C15" i="26"/>
  <c r="D15" i="26" s="1"/>
  <c r="F15" i="26"/>
  <c r="G15" i="26"/>
  <c r="C16" i="26"/>
  <c r="D16" i="26"/>
  <c r="E16" i="26"/>
  <c r="F16" i="26"/>
  <c r="G16" i="26" s="1"/>
  <c r="C17" i="26"/>
  <c r="D17" i="26"/>
  <c r="F17" i="26" s="1"/>
  <c r="G17" i="26" s="1"/>
  <c r="E17" i="26"/>
  <c r="C18" i="26"/>
  <c r="D18" i="26"/>
  <c r="E18" i="26" s="1"/>
  <c r="F18" i="26"/>
  <c r="G18" i="26" s="1"/>
  <c r="C19" i="26"/>
  <c r="D19" i="26" s="1"/>
  <c r="C21" i="26"/>
  <c r="D21" i="26" s="1"/>
  <c r="F21" i="26"/>
  <c r="G21" i="26"/>
  <c r="C22" i="26"/>
  <c r="D22" i="26" s="1"/>
  <c r="E22" i="26" s="1"/>
  <c r="F22" i="26"/>
  <c r="G22" i="26" s="1"/>
  <c r="C23" i="26"/>
  <c r="D23" i="26" s="1"/>
  <c r="F23" i="26"/>
  <c r="G23" i="26"/>
  <c r="C24" i="26"/>
  <c r="D24" i="26" s="1"/>
  <c r="E24" i="26" s="1"/>
  <c r="C25" i="26"/>
  <c r="D25" i="26" s="1"/>
  <c r="C26" i="26"/>
  <c r="D26" i="26" s="1"/>
  <c r="E26" i="26" s="1"/>
  <c r="F26" i="26"/>
  <c r="G26" i="26"/>
  <c r="C30" i="26"/>
  <c r="C33" i="26"/>
  <c r="D33" i="26"/>
  <c r="F33" i="26" s="1"/>
  <c r="G33" i="26" s="1"/>
  <c r="C34" i="26"/>
  <c r="D34" i="26"/>
  <c r="F34" i="26" s="1"/>
  <c r="G34" i="26" s="1"/>
  <c r="C35" i="26"/>
  <c r="D35" i="26"/>
  <c r="F35" i="26" s="1"/>
  <c r="G35" i="26" s="1"/>
  <c r="C36" i="26"/>
  <c r="D36" i="26"/>
  <c r="E36" i="26" s="1"/>
  <c r="F36" i="26"/>
  <c r="G36" i="26" s="1"/>
  <c r="C37" i="26"/>
  <c r="D37" i="26"/>
  <c r="C38" i="26"/>
  <c r="D38" i="26" s="1"/>
  <c r="C39" i="26"/>
  <c r="D39" i="26"/>
  <c r="F39" i="26" s="1"/>
  <c r="G39" i="26" s="1"/>
  <c r="C40" i="26"/>
  <c r="D40" i="26"/>
  <c r="F40" i="26"/>
  <c r="G40" i="26" s="1"/>
  <c r="C41" i="26"/>
  <c r="D41" i="26" s="1"/>
  <c r="F41" i="26" s="1"/>
  <c r="G41" i="26" s="1"/>
  <c r="C42" i="26"/>
  <c r="D42" i="26"/>
  <c r="F42" i="26"/>
  <c r="G42" i="26" s="1"/>
  <c r="C43" i="26"/>
  <c r="D43" i="26" s="1"/>
  <c r="C44" i="26"/>
  <c r="D44" i="26" s="1"/>
  <c r="F44" i="26" s="1"/>
  <c r="G44" i="26" s="1"/>
  <c r="C45" i="26"/>
  <c r="D45" i="26"/>
  <c r="F45" i="26" s="1"/>
  <c r="G45" i="26" s="1"/>
  <c r="C46" i="26"/>
  <c r="D46" i="26"/>
  <c r="E46" i="26" s="1"/>
  <c r="F46" i="26"/>
  <c r="G46" i="26" s="1"/>
  <c r="C47" i="26"/>
  <c r="D47" i="26" s="1"/>
  <c r="C72" i="26"/>
  <c r="C85" i="26" s="1"/>
  <c r="D85" i="26" s="1"/>
  <c r="F85" i="26" s="1"/>
  <c r="G85" i="26" s="1"/>
  <c r="A81" i="26"/>
  <c r="A80" i="26" s="1"/>
  <c r="A79" i="26"/>
  <c r="B78" i="26" s="1"/>
  <c r="A78" i="26"/>
  <c r="A85" i="26"/>
  <c r="A86" i="26"/>
  <c r="A87" i="26" s="1"/>
  <c r="L33" i="26"/>
  <c r="N33" i="26"/>
  <c r="P33" i="26"/>
  <c r="R33" i="26"/>
  <c r="T33" i="26"/>
  <c r="L34" i="26"/>
  <c r="N34" i="26"/>
  <c r="P34" i="26"/>
  <c r="R34" i="26"/>
  <c r="T34" i="26"/>
  <c r="L35" i="26"/>
  <c r="N35" i="26"/>
  <c r="P35" i="26"/>
  <c r="R35" i="26"/>
  <c r="T35" i="26"/>
  <c r="L36" i="26"/>
  <c r="N36" i="26"/>
  <c r="P36" i="26"/>
  <c r="R36" i="26"/>
  <c r="T36" i="26"/>
  <c r="U36" i="26" s="1"/>
  <c r="L37" i="26"/>
  <c r="N37" i="26"/>
  <c r="P37" i="26"/>
  <c r="R37" i="26"/>
  <c r="T37" i="26"/>
  <c r="U37" i="26" s="1"/>
  <c r="L38" i="26"/>
  <c r="N38" i="26"/>
  <c r="P38" i="26"/>
  <c r="R38" i="26"/>
  <c r="T38" i="26"/>
  <c r="U38" i="26" s="1"/>
  <c r="L39" i="26"/>
  <c r="N39" i="26"/>
  <c r="P39" i="26"/>
  <c r="U39" i="26" s="1"/>
  <c r="R39" i="26"/>
  <c r="T39" i="26"/>
  <c r="L40" i="26"/>
  <c r="N40" i="26"/>
  <c r="P40" i="26"/>
  <c r="R40" i="26"/>
  <c r="T40" i="26"/>
  <c r="L41" i="26"/>
  <c r="N41" i="26"/>
  <c r="P41" i="26"/>
  <c r="R41" i="26"/>
  <c r="T41" i="26"/>
  <c r="L42" i="26"/>
  <c r="N42" i="26"/>
  <c r="P42" i="26"/>
  <c r="R42" i="26"/>
  <c r="T42" i="26"/>
  <c r="L43" i="26"/>
  <c r="N43" i="26"/>
  <c r="P43" i="26"/>
  <c r="R43" i="26"/>
  <c r="T43" i="26"/>
  <c r="L44" i="26"/>
  <c r="N44" i="26"/>
  <c r="P44" i="26"/>
  <c r="R44" i="26"/>
  <c r="T44" i="26"/>
  <c r="U44" i="26" s="1"/>
  <c r="L45" i="26"/>
  <c r="N45" i="26"/>
  <c r="P45" i="26"/>
  <c r="R45" i="26"/>
  <c r="T45" i="26"/>
  <c r="U45" i="26" s="1"/>
  <c r="L46" i="26"/>
  <c r="N46" i="26"/>
  <c r="P46" i="26"/>
  <c r="R46" i="26"/>
  <c r="T46" i="26"/>
  <c r="U46" i="26" s="1"/>
  <c r="L47" i="26"/>
  <c r="N47" i="26"/>
  <c r="P47" i="26"/>
  <c r="R47" i="26"/>
  <c r="T47" i="26"/>
  <c r="C54" i="26"/>
  <c r="D54" i="26" s="1"/>
  <c r="F54" i="26"/>
  <c r="G54" i="26" s="1"/>
  <c r="B56" i="26"/>
  <c r="C57" i="26"/>
  <c r="D57" i="26"/>
  <c r="F57" i="26" s="1"/>
  <c r="G57" i="26" s="1"/>
  <c r="C58" i="26"/>
  <c r="D58" i="26" s="1"/>
  <c r="E58" i="26" s="1"/>
  <c r="C59" i="26"/>
  <c r="D59" i="26"/>
  <c r="C60" i="26"/>
  <c r="D60" i="26" s="1"/>
  <c r="E60" i="26" s="1"/>
  <c r="F60" i="26"/>
  <c r="G60" i="26"/>
  <c r="C61" i="26"/>
  <c r="D61" i="26" s="1"/>
  <c r="C62" i="26"/>
  <c r="D62" i="26" s="1"/>
  <c r="F62" i="26"/>
  <c r="G62" i="26"/>
  <c r="C63" i="26"/>
  <c r="D63" i="26"/>
  <c r="F63" i="26" s="1"/>
  <c r="G63" i="26" s="1"/>
  <c r="C64" i="26"/>
  <c r="D64" i="26" s="1"/>
  <c r="E64" i="26" s="1"/>
  <c r="C65" i="26"/>
  <c r="D65" i="26"/>
  <c r="F65" i="26" s="1"/>
  <c r="G65" i="26" s="1"/>
  <c r="C66" i="26"/>
  <c r="D66" i="26" s="1"/>
  <c r="F66" i="26"/>
  <c r="G66" i="26"/>
  <c r="C67" i="26"/>
  <c r="D67" i="26" s="1"/>
  <c r="C68" i="26"/>
  <c r="D68" i="26" s="1"/>
  <c r="F68" i="26"/>
  <c r="G68" i="26"/>
  <c r="C100" i="26"/>
  <c r="D100" i="26" s="1"/>
  <c r="F100" i="26" s="1"/>
  <c r="G100" i="26" s="1"/>
  <c r="C101" i="26"/>
  <c r="D101" i="26"/>
  <c r="E101" i="26" s="1"/>
  <c r="C102" i="26"/>
  <c r="D102" i="26" s="1"/>
  <c r="F102" i="26" s="1"/>
  <c r="G102" i="26" s="1"/>
  <c r="C103" i="26"/>
  <c r="D103" i="26"/>
  <c r="E103" i="26" s="1"/>
  <c r="F103" i="26"/>
  <c r="G103" i="26"/>
  <c r="C104" i="26"/>
  <c r="D104" i="26" s="1"/>
  <c r="F104" i="26" s="1"/>
  <c r="G104" i="26" s="1"/>
  <c r="C105" i="26"/>
  <c r="D105" i="26"/>
  <c r="F105" i="26"/>
  <c r="G105" i="26"/>
  <c r="C106" i="26"/>
  <c r="D106" i="26" s="1"/>
  <c r="F106" i="26" s="1"/>
  <c r="G106" i="26" s="1"/>
  <c r="C107" i="26"/>
  <c r="D107" i="26"/>
  <c r="E107" i="26" s="1"/>
  <c r="F107" i="26"/>
  <c r="G107" i="26" s="1"/>
  <c r="C108" i="26"/>
  <c r="D108" i="26" s="1"/>
  <c r="C109" i="26"/>
  <c r="D109" i="26"/>
  <c r="F109" i="26"/>
  <c r="G109" i="26"/>
  <c r="C110" i="26"/>
  <c r="D110" i="26" s="1"/>
  <c r="F110" i="26" s="1"/>
  <c r="G110" i="26" s="1"/>
  <c r="C111" i="26"/>
  <c r="D111" i="26"/>
  <c r="F111" i="26" s="1"/>
  <c r="G111" i="26" s="1"/>
  <c r="C112" i="26"/>
  <c r="D112" i="26" s="1"/>
  <c r="C113" i="26"/>
  <c r="D113" i="26"/>
  <c r="E113" i="26" s="1"/>
  <c r="F113" i="26"/>
  <c r="G113" i="26"/>
  <c r="C114" i="26"/>
  <c r="D114" i="26" s="1"/>
  <c r="F114" i="26" s="1"/>
  <c r="G114" i="26" s="1"/>
  <c r="E124" i="26"/>
  <c r="U33" i="26"/>
  <c r="U34" i="26"/>
  <c r="U40" i="26"/>
  <c r="U41" i="26"/>
  <c r="U42" i="26"/>
  <c r="U47" i="26"/>
  <c r="E110" i="26"/>
  <c r="D118" i="26"/>
  <c r="E126" i="26"/>
  <c r="E127" i="26"/>
  <c r="I48" i="26"/>
  <c r="E105" i="26"/>
  <c r="E106" i="26"/>
  <c r="E135" i="26"/>
  <c r="E132" i="26"/>
  <c r="E131" i="26"/>
  <c r="E129" i="26"/>
  <c r="E125" i="26"/>
  <c r="D96" i="26"/>
  <c r="D50" i="26"/>
  <c r="C29" i="26"/>
  <c r="D3" i="26"/>
  <c r="E39" i="26"/>
  <c r="E40" i="26"/>
  <c r="E42" i="26"/>
  <c r="E114" i="26"/>
  <c r="B79" i="26"/>
  <c r="B80" i="26"/>
  <c r="E8" i="26"/>
  <c r="E15" i="26"/>
  <c r="E21" i="26"/>
  <c r="E102" i="26"/>
  <c r="E10" i="26"/>
  <c r="E35" i="26"/>
  <c r="E44" i="26"/>
  <c r="E45" i="26"/>
  <c r="I4" i="26"/>
  <c r="I32" i="26"/>
  <c r="I31" i="26"/>
  <c r="Q50" i="26"/>
  <c r="Y32" i="26"/>
  <c r="Y39" i="26"/>
  <c r="Y40" i="26"/>
  <c r="Y41" i="26"/>
  <c r="Y42" i="26"/>
  <c r="Y43" i="26"/>
  <c r="Y44" i="26"/>
  <c r="Y45" i="26"/>
  <c r="Y46" i="26"/>
  <c r="Y47" i="26"/>
  <c r="Y48" i="26"/>
  <c r="Y31" i="26"/>
  <c r="E66" i="26"/>
  <c r="E62" i="26"/>
  <c r="E23" i="26"/>
  <c r="E65" i="26"/>
  <c r="E109" i="26"/>
  <c r="E68" i="26"/>
  <c r="D8" i="10"/>
  <c r="E8" i="10"/>
  <c r="F11" i="10"/>
  <c r="F8" i="10"/>
  <c r="G8" i="10"/>
  <c r="H8" i="10"/>
  <c r="I8" i="10"/>
  <c r="J8" i="10"/>
  <c r="K8" i="10"/>
  <c r="L8" i="10"/>
  <c r="M8" i="10"/>
  <c r="N8" i="10"/>
  <c r="O8" i="10"/>
  <c r="P30" i="10"/>
  <c r="D22" i="10"/>
  <c r="E22" i="10"/>
  <c r="F22" i="10"/>
  <c r="G22" i="10"/>
  <c r="H22" i="10"/>
  <c r="O25" i="10"/>
  <c r="O24" i="10" s="1"/>
  <c r="N24" i="10" s="1"/>
  <c r="I25" i="10"/>
  <c r="I24" i="10"/>
  <c r="I22" i="10"/>
  <c r="H23" i="10" s="1"/>
  <c r="J22" i="10"/>
  <c r="J23" i="10" s="1"/>
  <c r="K22" i="10"/>
  <c r="L22" i="10"/>
  <c r="M25" i="10"/>
  <c r="M22" i="10"/>
  <c r="P24" i="10" s="1"/>
  <c r="N22" i="10"/>
  <c r="O22" i="10"/>
  <c r="K25" i="10"/>
  <c r="H11" i="10"/>
  <c r="D13" i="10"/>
  <c r="D12" i="10"/>
  <c r="E12" i="10"/>
  <c r="F13" i="10"/>
  <c r="F12" i="10"/>
  <c r="G12" i="10"/>
  <c r="H13" i="10"/>
  <c r="H12" i="10"/>
  <c r="I12" i="10"/>
  <c r="J12" i="10"/>
  <c r="K12" i="10"/>
  <c r="L12" i="10"/>
  <c r="M12" i="10"/>
  <c r="N12" i="10"/>
  <c r="O12" i="10"/>
  <c r="R25" i="10"/>
  <c r="R13" i="10"/>
  <c r="N9" i="10"/>
  <c r="O9" i="10"/>
  <c r="P7" i="10" s="1"/>
  <c r="L9" i="10"/>
  <c r="M9" i="10"/>
  <c r="L10" i="10" s="1"/>
  <c r="J9" i="10"/>
  <c r="J10" i="10" s="1"/>
  <c r="K9" i="10"/>
  <c r="H9" i="10"/>
  <c r="H10" i="10" s="1"/>
  <c r="I9" i="10"/>
  <c r="F9" i="10"/>
  <c r="G9" i="10"/>
  <c r="F10" i="10"/>
  <c r="D9" i="10"/>
  <c r="E9" i="10"/>
  <c r="G13" i="10"/>
  <c r="G11" i="10"/>
  <c r="P21" i="10"/>
  <c r="N11" i="10"/>
  <c r="E25" i="10"/>
  <c r="D23" i="10"/>
  <c r="C11" i="10"/>
  <c r="D20" i="10"/>
  <c r="E20" i="10"/>
  <c r="O20" i="10" s="1"/>
  <c r="E13" i="10"/>
  <c r="N13" i="10"/>
  <c r="C21" i="10"/>
  <c r="I11" i="10"/>
  <c r="I13" i="10"/>
  <c r="J11" i="10"/>
  <c r="J13" i="10"/>
  <c r="K11" i="10"/>
  <c r="K13" i="10"/>
  <c r="L11" i="10"/>
  <c r="L13" i="10"/>
  <c r="M11" i="10"/>
  <c r="M13" i="10"/>
  <c r="O11" i="10"/>
  <c r="O13" i="10"/>
  <c r="N3" i="10"/>
  <c r="L3" i="10"/>
  <c r="J3" i="10"/>
  <c r="H3" i="10"/>
  <c r="P18" i="10"/>
  <c r="F6" i="10"/>
  <c r="H6" i="10" s="1"/>
  <c r="J6" i="10" s="1"/>
  <c r="L6" i="10" s="1"/>
  <c r="N6" i="10" s="1"/>
  <c r="G6" i="10"/>
  <c r="I6" i="10"/>
  <c r="K6" i="10"/>
  <c r="M6" i="10" s="1"/>
  <c r="O6" i="10" s="1"/>
  <c r="K20" i="10"/>
  <c r="M20" i="10"/>
  <c r="G20" i="10"/>
  <c r="I20" i="10"/>
  <c r="G25" i="10"/>
  <c r="F23" i="10"/>
  <c r="J20" i="10"/>
  <c r="D10" i="10"/>
  <c r="J19" i="19"/>
  <c r="J20" i="19"/>
  <c r="K19" i="19"/>
  <c r="J29" i="19"/>
  <c r="J15" i="19"/>
  <c r="K15" i="19" s="1"/>
  <c r="J16" i="19"/>
  <c r="J11" i="19"/>
  <c r="K11" i="19" s="1"/>
  <c r="J12" i="19"/>
  <c r="H12" i="19"/>
  <c r="H15" i="19"/>
  <c r="I11" i="19"/>
  <c r="I19" i="19"/>
  <c r="I12" i="19"/>
  <c r="I15" i="19"/>
  <c r="I16" i="19"/>
  <c r="I20" i="19"/>
  <c r="H20" i="19"/>
  <c r="H19" i="19"/>
  <c r="H16" i="19"/>
  <c r="C36" i="19"/>
  <c r="D36" i="19"/>
  <c r="C37" i="19"/>
  <c r="D37" i="19" s="1"/>
  <c r="F6" i="19"/>
  <c r="F5" i="19"/>
  <c r="D5" i="19"/>
  <c r="D4" i="19"/>
  <c r="B20" i="19"/>
  <c r="B19" i="19"/>
  <c r="B16" i="19"/>
  <c r="B15" i="19"/>
  <c r="B12" i="19"/>
  <c r="B11" i="19"/>
  <c r="H31" i="19"/>
  <c r="H29" i="19"/>
  <c r="H27" i="19"/>
  <c r="H25" i="19"/>
  <c r="J21" i="19"/>
  <c r="J17" i="19"/>
  <c r="J13" i="19"/>
  <c r="I36" i="19"/>
  <c r="C8" i="32"/>
  <c r="E3" i="32" s="1"/>
  <c r="L6" i="32"/>
  <c r="L5" i="32"/>
  <c r="L7" i="32"/>
  <c r="L3" i="32"/>
  <c r="I7" i="32"/>
  <c r="B9" i="32" s="1"/>
  <c r="C13" i="32"/>
  <c r="D12" i="32"/>
  <c r="L12" i="32"/>
  <c r="I20" i="32"/>
  <c r="K24" i="32"/>
  <c r="D3" i="32"/>
  <c r="B21" i="12"/>
  <c r="C14" i="12"/>
  <c r="C24" i="12"/>
  <c r="C25" i="12"/>
  <c r="D24" i="12"/>
  <c r="C29" i="12"/>
  <c r="B19" i="12"/>
  <c r="B23" i="12"/>
  <c r="A35" i="12"/>
  <c r="E14" i="12"/>
  <c r="C26" i="12"/>
  <c r="B22" i="12"/>
  <c r="C5" i="12"/>
  <c r="C2" i="12"/>
  <c r="B11" i="12"/>
  <c r="B10" i="12"/>
  <c r="C12" i="12"/>
  <c r="C11" i="12"/>
  <c r="C10" i="12"/>
  <c r="A6" i="12"/>
  <c r="A5" i="12"/>
  <c r="F4" i="12"/>
  <c r="C4" i="12"/>
  <c r="A4" i="12"/>
  <c r="A2" i="12"/>
  <c r="C17" i="12"/>
  <c r="A3" i="12"/>
  <c r="B3" i="12"/>
  <c r="C3" i="12"/>
  <c r="D29" i="12"/>
  <c r="E28" i="12"/>
  <c r="D25" i="12"/>
  <c r="H4" i="29"/>
  <c r="H5" i="29"/>
  <c r="H6" i="29"/>
  <c r="H7" i="29"/>
  <c r="H8" i="29"/>
  <c r="H9" i="29"/>
  <c r="G15" i="29"/>
  <c r="G28" i="29"/>
  <c r="G44" i="29"/>
  <c r="D46" i="29" s="1"/>
  <c r="G58" i="29"/>
  <c r="C58" i="29"/>
  <c r="C59" i="29" s="1"/>
  <c r="E6" i="29"/>
  <c r="E4" i="29"/>
  <c r="E5" i="29"/>
  <c r="E7" i="29"/>
  <c r="E15" i="29" s="1"/>
  <c r="E8" i="29"/>
  <c r="E9" i="29"/>
  <c r="E10" i="29"/>
  <c r="E11" i="29"/>
  <c r="E12" i="29"/>
  <c r="E13" i="29"/>
  <c r="F6" i="29"/>
  <c r="F4" i="29"/>
  <c r="F15" i="29" s="1"/>
  <c r="A14" i="29" s="1"/>
  <c r="F5" i="29"/>
  <c r="F7" i="29"/>
  <c r="F8" i="29"/>
  <c r="F9" i="29"/>
  <c r="F10" i="29"/>
  <c r="F11" i="29"/>
  <c r="F12" i="29"/>
  <c r="F13" i="29"/>
  <c r="D58" i="29"/>
  <c r="H34" i="29"/>
  <c r="H33" i="29"/>
  <c r="H35" i="29"/>
  <c r="H36" i="29"/>
  <c r="H37" i="29"/>
  <c r="H38" i="29"/>
  <c r="H43" i="29"/>
  <c r="D44" i="29"/>
  <c r="C44" i="29"/>
  <c r="C45" i="29"/>
  <c r="E45" i="29" s="1"/>
  <c r="C28" i="29"/>
  <c r="C29" i="29" s="1"/>
  <c r="H20" i="29"/>
  <c r="H21" i="29"/>
  <c r="H26" i="29"/>
  <c r="H27" i="29"/>
  <c r="D28" i="29"/>
  <c r="D30" i="29"/>
  <c r="D15" i="29"/>
  <c r="H11" i="29"/>
  <c r="H12" i="29"/>
  <c r="H13" i="29"/>
  <c r="H14" i="29"/>
  <c r="D17" i="29"/>
  <c r="C15" i="29"/>
  <c r="C16" i="29"/>
  <c r="E50" i="29"/>
  <c r="E51" i="29"/>
  <c r="E52" i="29"/>
  <c r="E53" i="29"/>
  <c r="E54" i="29"/>
  <c r="E55" i="29"/>
  <c r="E56" i="29"/>
  <c r="E49" i="29"/>
  <c r="E58" i="29" s="1"/>
  <c r="F49" i="29"/>
  <c r="F58" i="29" s="1"/>
  <c r="F50" i="29"/>
  <c r="F51" i="29"/>
  <c r="F52" i="29"/>
  <c r="F53" i="29"/>
  <c r="F54" i="29"/>
  <c r="F55" i="29"/>
  <c r="F56" i="29"/>
  <c r="E34" i="29"/>
  <c r="E35" i="29"/>
  <c r="E36" i="29"/>
  <c r="E37" i="29"/>
  <c r="E38" i="29"/>
  <c r="E39" i="29"/>
  <c r="E40" i="29"/>
  <c r="E41" i="29"/>
  <c r="E42" i="29"/>
  <c r="E33" i="29"/>
  <c r="E44" i="29" s="1"/>
  <c r="F33" i="29"/>
  <c r="F34" i="29"/>
  <c r="F35" i="29"/>
  <c r="F36" i="29"/>
  <c r="F37" i="29"/>
  <c r="F38" i="29"/>
  <c r="F39" i="29"/>
  <c r="F40" i="29"/>
  <c r="F41" i="29"/>
  <c r="F42" i="29"/>
  <c r="E21" i="29"/>
  <c r="E22" i="29"/>
  <c r="E23" i="29"/>
  <c r="E24" i="29"/>
  <c r="E25" i="29"/>
  <c r="E26" i="29"/>
  <c r="E20" i="29"/>
  <c r="F26" i="29"/>
  <c r="F25" i="29"/>
  <c r="F24" i="29"/>
  <c r="F23" i="29"/>
  <c r="F22" i="29"/>
  <c r="F21" i="29"/>
  <c r="F20" i="29"/>
  <c r="B1" i="29"/>
  <c r="A15" i="29"/>
  <c r="A28" i="29"/>
  <c r="A58" i="29"/>
  <c r="A44" i="29"/>
  <c r="H57" i="29"/>
  <c r="H52" i="29"/>
  <c r="H51" i="29"/>
  <c r="H50" i="29"/>
  <c r="H49" i="29"/>
  <c r="I6" i="4"/>
  <c r="I9" i="4" s="1"/>
  <c r="G9" i="4" s="1"/>
  <c r="I5" i="4"/>
  <c r="I7" i="4"/>
  <c r="I8" i="4"/>
  <c r="D9" i="4"/>
  <c r="D11" i="4"/>
  <c r="C59" i="7" s="1"/>
  <c r="C31" i="4"/>
  <c r="D48" i="4" s="1"/>
  <c r="D31" i="4"/>
  <c r="D49" i="4"/>
  <c r="E31" i="4"/>
  <c r="D50" i="4"/>
  <c r="F31" i="4"/>
  <c r="D51" i="4"/>
  <c r="C22" i="4"/>
  <c r="D37" i="4" s="1"/>
  <c r="D22" i="4"/>
  <c r="D38" i="4"/>
  <c r="E22" i="4"/>
  <c r="D39" i="4" s="1"/>
  <c r="E40" i="4" s="1"/>
  <c r="F22" i="4"/>
  <c r="D41" i="4"/>
  <c r="G22" i="4"/>
  <c r="D42" i="4" s="1"/>
  <c r="H22" i="4"/>
  <c r="D43" i="4"/>
  <c r="I22" i="4"/>
  <c r="D44" i="4" s="1"/>
  <c r="Q27" i="4"/>
  <c r="U27" i="4" s="1"/>
  <c r="Q28" i="4"/>
  <c r="U28" i="4" s="1"/>
  <c r="Q29" i="4"/>
  <c r="U29" i="4"/>
  <c r="Q30" i="4"/>
  <c r="U30" i="4" s="1"/>
  <c r="Q31" i="4"/>
  <c r="U31" i="4" s="1"/>
  <c r="Q37" i="4"/>
  <c r="U37" i="4" s="1"/>
  <c r="Q38" i="4"/>
  <c r="U38" i="4"/>
  <c r="Q39" i="4"/>
  <c r="U39" i="4" s="1"/>
  <c r="Q34" i="4"/>
  <c r="Q50" i="4"/>
  <c r="Q49" i="4"/>
  <c r="Q48" i="4"/>
  <c r="Q46" i="4"/>
  <c r="Q45" i="4"/>
  <c r="Q44" i="4"/>
  <c r="A5" i="17"/>
  <c r="A3" i="17"/>
  <c r="A2" i="17"/>
  <c r="A1" i="17"/>
  <c r="B64" i="14"/>
  <c r="E61" i="14"/>
  <c r="E41" i="14"/>
  <c r="F61" i="14"/>
  <c r="G31" i="19" s="1"/>
  <c r="J31" i="19" s="1"/>
  <c r="E56" i="7" s="1"/>
  <c r="F41" i="14"/>
  <c r="G25" i="19" s="1"/>
  <c r="J25" i="19" s="1"/>
  <c r="D50" i="7" s="1"/>
  <c r="A50" i="7" s="1"/>
  <c r="C3" i="14"/>
  <c r="C43" i="14"/>
  <c r="E1" i="14"/>
  <c r="K50" i="15"/>
  <c r="J53" i="15" s="1"/>
  <c r="J55" i="15" s="1"/>
  <c r="J54" i="15"/>
  <c r="M22" i="15"/>
  <c r="N47" i="15" s="1"/>
  <c r="M50" i="15" s="1"/>
  <c r="J50" i="15" s="1"/>
  <c r="J57" i="15" s="1"/>
  <c r="G50" i="15"/>
  <c r="H50" i="15"/>
  <c r="J46" i="15"/>
  <c r="C47" i="15"/>
  <c r="I50" i="15"/>
  <c r="J11" i="15"/>
  <c r="J12" i="15"/>
  <c r="E17" i="15"/>
  <c r="J17" i="15" s="1"/>
  <c r="E22" i="15"/>
  <c r="C20" i="15" s="1"/>
  <c r="J22" i="15"/>
  <c r="E27" i="15"/>
  <c r="A25" i="15" s="1"/>
  <c r="J27" i="15"/>
  <c r="E32" i="15"/>
  <c r="G28" i="15"/>
  <c r="G30" i="15"/>
  <c r="G29" i="15"/>
  <c r="G31" i="15"/>
  <c r="G32" i="15"/>
  <c r="H28" i="15"/>
  <c r="H30" i="15" s="1"/>
  <c r="H29" i="15"/>
  <c r="H31" i="15" s="1"/>
  <c r="I28" i="15"/>
  <c r="I30" i="15"/>
  <c r="I29" i="15"/>
  <c r="I31" i="15" s="1"/>
  <c r="K32" i="15"/>
  <c r="G23" i="15"/>
  <c r="G24" i="15"/>
  <c r="G26" i="15" s="1"/>
  <c r="H23" i="15"/>
  <c r="H25" i="15"/>
  <c r="H24" i="15"/>
  <c r="H26" i="15"/>
  <c r="H27" i="15"/>
  <c r="I23" i="15"/>
  <c r="I25" i="15" s="1"/>
  <c r="I24" i="15"/>
  <c r="I26" i="15"/>
  <c r="K27" i="15"/>
  <c r="K22" i="15"/>
  <c r="G18" i="15"/>
  <c r="G20" i="15" s="1"/>
  <c r="A19" i="15"/>
  <c r="G19" i="15"/>
  <c r="G21" i="15"/>
  <c r="H18" i="15"/>
  <c r="H20" i="15"/>
  <c r="H19" i="15"/>
  <c r="H21" i="15"/>
  <c r="H22" i="15"/>
  <c r="I18" i="15"/>
  <c r="I20" i="15"/>
  <c r="I19" i="15"/>
  <c r="I21" i="15"/>
  <c r="I22" i="15"/>
  <c r="B19" i="15"/>
  <c r="H46" i="15"/>
  <c r="B51" i="15"/>
  <c r="I49" i="15"/>
  <c r="H49" i="15"/>
  <c r="G49" i="15"/>
  <c r="G7" i="15"/>
  <c r="G9" i="15" s="1"/>
  <c r="A8" i="15"/>
  <c r="G8" i="15"/>
  <c r="G10" i="15" s="1"/>
  <c r="A9" i="15"/>
  <c r="H7" i="15"/>
  <c r="B8" i="15"/>
  <c r="H8" i="15"/>
  <c r="H10" i="15" s="1"/>
  <c r="B9" i="15"/>
  <c r="I7" i="15"/>
  <c r="C8" i="15"/>
  <c r="I8" i="15"/>
  <c r="I10" i="15" s="1"/>
  <c r="E12" i="15"/>
  <c r="F12" i="15"/>
  <c r="G12" i="15"/>
  <c r="H12" i="15"/>
  <c r="I12" i="15"/>
  <c r="K12" i="15"/>
  <c r="G13" i="15"/>
  <c r="G14" i="15"/>
  <c r="G16" i="15"/>
  <c r="H13" i="15"/>
  <c r="H14" i="15"/>
  <c r="H16" i="15" s="1"/>
  <c r="I13" i="15"/>
  <c r="I15" i="15" s="1"/>
  <c r="I14" i="15"/>
  <c r="I6" i="15" s="1"/>
  <c r="I16" i="15"/>
  <c r="C33" i="15"/>
  <c r="J36" i="15" s="1"/>
  <c r="C14" i="15"/>
  <c r="C9" i="15"/>
  <c r="C30" i="15"/>
  <c r="B25" i="15"/>
  <c r="C24" i="15"/>
  <c r="A12" i="15"/>
  <c r="B52" i="15"/>
  <c r="K49" i="15"/>
  <c r="A46" i="15"/>
  <c r="B32" i="15"/>
  <c r="U4" i="31"/>
  <c r="C5" i="31"/>
  <c r="D5" i="31" s="1"/>
  <c r="E5" i="31" s="1"/>
  <c r="F5" i="31" s="1"/>
  <c r="G5" i="31" s="1"/>
  <c r="H5" i="31" s="1"/>
  <c r="I5" i="31" s="1"/>
  <c r="J5" i="31" s="1"/>
  <c r="K5" i="31" s="1"/>
  <c r="L5" i="31" s="1"/>
  <c r="M5" i="31" s="1"/>
  <c r="N5" i="31" s="1"/>
  <c r="O5" i="31" s="1"/>
  <c r="P5" i="31" s="1"/>
  <c r="Q5" i="31" s="1"/>
  <c r="R5" i="31" s="1"/>
  <c r="S5" i="31" s="1"/>
  <c r="T5" i="31" s="1"/>
  <c r="U5" i="31" s="1"/>
  <c r="V5" i="31" s="1"/>
  <c r="T4" i="31"/>
  <c r="S4" i="31"/>
  <c r="R4" i="31"/>
  <c r="Q4" i="31"/>
  <c r="P4" i="31"/>
  <c r="O4" i="31"/>
  <c r="N4" i="31"/>
  <c r="M4" i="31"/>
  <c r="L4" i="31"/>
  <c r="K4" i="31"/>
  <c r="J4" i="31"/>
  <c r="I4" i="31"/>
  <c r="H4" i="31"/>
  <c r="G4" i="31"/>
  <c r="F4" i="31"/>
  <c r="E4" i="31"/>
  <c r="D4" i="31"/>
  <c r="C4" i="31"/>
  <c r="T2" i="31"/>
  <c r="U2" i="31"/>
  <c r="V3" i="31"/>
  <c r="U3" i="31"/>
  <c r="T3" i="31"/>
  <c r="S3" i="31"/>
  <c r="R3" i="31"/>
  <c r="Q3" i="31"/>
  <c r="P3" i="31"/>
  <c r="O3" i="31"/>
  <c r="N3" i="31"/>
  <c r="M3" i="31"/>
  <c r="L3" i="31"/>
  <c r="K3" i="31"/>
  <c r="J3" i="31"/>
  <c r="I3" i="31"/>
  <c r="H3" i="31"/>
  <c r="G3" i="31"/>
  <c r="F3" i="31"/>
  <c r="E3" i="31"/>
  <c r="D3" i="31"/>
  <c r="C3" i="31"/>
  <c r="AD18" i="3"/>
  <c r="AD19" i="3" s="1"/>
  <c r="E11" i="3" s="1"/>
  <c r="AE21" i="3"/>
  <c r="J25" i="3"/>
  <c r="Q25" i="3" s="1"/>
  <c r="W25" i="3" s="1"/>
  <c r="E31" i="7" s="1"/>
  <c r="G24" i="3"/>
  <c r="J24" i="3"/>
  <c r="Q23" i="3"/>
  <c r="J29" i="3"/>
  <c r="Q29" i="3" s="1"/>
  <c r="W29" i="3" s="1"/>
  <c r="T16" i="3"/>
  <c r="U16" i="3"/>
  <c r="V16" i="3"/>
  <c r="P16" i="3"/>
  <c r="H10" i="3"/>
  <c r="Y16" i="3"/>
  <c r="T17" i="3"/>
  <c r="U17" i="3"/>
  <c r="V17" i="3"/>
  <c r="P17" i="3"/>
  <c r="Y17" i="3"/>
  <c r="T18" i="3"/>
  <c r="U18" i="3"/>
  <c r="V18" i="3"/>
  <c r="P18" i="3"/>
  <c r="Y18" i="3"/>
  <c r="P14" i="3"/>
  <c r="A20" i="3"/>
  <c r="H23" i="3"/>
  <c r="H24" i="3"/>
  <c r="H25" i="3"/>
  <c r="F24" i="3"/>
  <c r="A30" i="7" s="1"/>
  <c r="H29" i="3"/>
  <c r="A12" i="3"/>
  <c r="F6" i="3"/>
  <c r="F7" i="3"/>
  <c r="F8" i="3"/>
  <c r="E8" i="3"/>
  <c r="E6" i="3"/>
  <c r="E9" i="3"/>
  <c r="E7" i="3"/>
  <c r="W23" i="3"/>
  <c r="E29" i="7" s="1"/>
  <c r="Y14" i="3"/>
  <c r="V15" i="3"/>
  <c r="U15" i="3"/>
  <c r="T15" i="3"/>
  <c r="Y15" i="3"/>
  <c r="P15" i="3"/>
  <c r="A11" i="20"/>
  <c r="D12" i="20"/>
  <c r="L4" i="30" l="1"/>
  <c r="L6" i="30" s="1"/>
  <c r="I23" i="30"/>
  <c r="C84" i="26"/>
  <c r="D84" i="26" s="1"/>
  <c r="E85" i="26"/>
  <c r="C86" i="26"/>
  <c r="D86" i="26" s="1"/>
  <c r="F86" i="26" s="1"/>
  <c r="G86" i="26" s="1"/>
  <c r="C82" i="26"/>
  <c r="D82" i="26" s="1"/>
  <c r="C87" i="26"/>
  <c r="D87" i="26" s="1"/>
  <c r="F87" i="26" s="1"/>
  <c r="G87" i="26" s="1"/>
  <c r="C80" i="26"/>
  <c r="D80" i="26" s="1"/>
  <c r="E80" i="26" s="1"/>
  <c r="C78" i="26"/>
  <c r="D78" i="26" s="1"/>
  <c r="E78" i="26" s="1"/>
  <c r="I4" i="30"/>
  <c r="I6" i="30" s="1"/>
  <c r="J4" i="30"/>
  <c r="J6" i="30" s="1"/>
  <c r="K4" i="30"/>
  <c r="K6" i="30" s="1"/>
  <c r="H4" i="30"/>
  <c r="A36" i="7"/>
  <c r="J56" i="15"/>
  <c r="Q24" i="3"/>
  <c r="W24" i="3" s="1"/>
  <c r="E30" i="7" s="1"/>
  <c r="E28" i="7" s="1"/>
  <c r="N11" i="15"/>
  <c r="E16" i="29"/>
  <c r="D27" i="7"/>
  <c r="I17" i="3"/>
  <c r="W17" i="3" s="1"/>
  <c r="A25" i="7"/>
  <c r="E29" i="29"/>
  <c r="I15" i="3"/>
  <c r="W15" i="3" s="1"/>
  <c r="B14" i="15"/>
  <c r="A15" i="15"/>
  <c r="A14" i="15"/>
  <c r="B15" i="15"/>
  <c r="C15" i="15"/>
  <c r="I4" i="15"/>
  <c r="M38" i="15"/>
  <c r="I9" i="15"/>
  <c r="I5" i="15"/>
  <c r="I11" i="15"/>
  <c r="H5" i="15"/>
  <c r="I17" i="15"/>
  <c r="G15" i="15"/>
  <c r="G17" i="15" s="1"/>
  <c r="P25" i="4"/>
  <c r="AB33" i="28"/>
  <c r="AB37" i="28"/>
  <c r="L11" i="28"/>
  <c r="X33" i="28"/>
  <c r="X38" i="28" s="1"/>
  <c r="X37" i="28"/>
  <c r="D15" i="28"/>
  <c r="D11" i="28"/>
  <c r="D12" i="28" s="1"/>
  <c r="D17" i="28" s="1"/>
  <c r="D23" i="28" s="1"/>
  <c r="F23" i="28" s="1"/>
  <c r="N15" i="28"/>
  <c r="L21" i="28"/>
  <c r="N21" i="28" s="1"/>
  <c r="AB11" i="28"/>
  <c r="AB16" i="28" s="1"/>
  <c r="AB15" i="28"/>
  <c r="T11" i="28"/>
  <c r="T12" i="28" s="1"/>
  <c r="T17" i="28" s="1"/>
  <c r="V17" i="28" s="1"/>
  <c r="T15" i="28"/>
  <c r="T37" i="28"/>
  <c r="D3" i="34"/>
  <c r="D15" i="34" s="1"/>
  <c r="I18" i="3"/>
  <c r="W18" i="3" s="1"/>
  <c r="C49" i="7"/>
  <c r="D49" i="7"/>
  <c r="E49" i="7"/>
  <c r="F84" i="26"/>
  <c r="G84" i="26" s="1"/>
  <c r="E84" i="26"/>
  <c r="E61" i="26"/>
  <c r="F61" i="26"/>
  <c r="G61" i="26" s="1"/>
  <c r="F43" i="26"/>
  <c r="G43" i="26" s="1"/>
  <c r="E43" i="26"/>
  <c r="E87" i="26"/>
  <c r="E34" i="7"/>
  <c r="D34" i="7"/>
  <c r="A34" i="7"/>
  <c r="C34" i="7"/>
  <c r="F67" i="26"/>
  <c r="G67" i="26" s="1"/>
  <c r="E67" i="26"/>
  <c r="H32" i="15"/>
  <c r="N23" i="10"/>
  <c r="P20" i="10" s="1"/>
  <c r="F38" i="26"/>
  <c r="G38" i="26" s="1"/>
  <c r="E38" i="26"/>
  <c r="E20" i="26"/>
  <c r="F20" i="26"/>
  <c r="G20" i="26" s="1"/>
  <c r="P11" i="28"/>
  <c r="P15" i="28"/>
  <c r="A22" i="7"/>
  <c r="B22" i="7" s="1"/>
  <c r="A23" i="7"/>
  <c r="B23" i="7" s="1"/>
  <c r="M53" i="15"/>
  <c r="C25" i="15"/>
  <c r="G5" i="15"/>
  <c r="H4" i="15"/>
  <c r="A24" i="15"/>
  <c r="B29" i="15"/>
  <c r="B30" i="15"/>
  <c r="C29" i="15"/>
  <c r="J32" i="15"/>
  <c r="J33" i="15" s="1"/>
  <c r="F28" i="29"/>
  <c r="J12" i="32"/>
  <c r="G24" i="10"/>
  <c r="L23" i="10"/>
  <c r="E9" i="26"/>
  <c r="E57" i="26"/>
  <c r="F101" i="26"/>
  <c r="G101" i="26" s="1"/>
  <c r="F64" i="26"/>
  <c r="G64" i="26" s="1"/>
  <c r="F47" i="26"/>
  <c r="G47" i="26" s="1"/>
  <c r="G28" i="26" s="1"/>
  <c r="E47" i="26"/>
  <c r="J37" i="28"/>
  <c r="H43" i="28"/>
  <c r="J43" i="28" s="1"/>
  <c r="X11" i="28"/>
  <c r="X15" i="28"/>
  <c r="E50" i="7"/>
  <c r="F37" i="26"/>
  <c r="G37" i="26" s="1"/>
  <c r="E37" i="26"/>
  <c r="A21" i="7"/>
  <c r="B21" i="7" s="1"/>
  <c r="A30" i="15"/>
  <c r="H6" i="15"/>
  <c r="G11" i="15"/>
  <c r="I27" i="15"/>
  <c r="I32" i="15"/>
  <c r="E34" i="26"/>
  <c r="E133" i="26"/>
  <c r="F112" i="26"/>
  <c r="G112" i="26" s="1"/>
  <c r="G95" i="26" s="1"/>
  <c r="E112" i="26"/>
  <c r="A88" i="26"/>
  <c r="E25" i="26"/>
  <c r="F25" i="26"/>
  <c r="G25" i="26" s="1"/>
  <c r="A11" i="26"/>
  <c r="B11" i="26"/>
  <c r="F136" i="26"/>
  <c r="G136" i="26" s="1"/>
  <c r="E136" i="26"/>
  <c r="B2" i="17"/>
  <c r="F14" i="26"/>
  <c r="G14" i="26" s="1"/>
  <c r="E14" i="26"/>
  <c r="A57" i="29"/>
  <c r="F130" i="26"/>
  <c r="G130" i="26" s="1"/>
  <c r="G117" i="26" s="1"/>
  <c r="E130" i="26"/>
  <c r="F137" i="26"/>
  <c r="G137" i="26" s="1"/>
  <c r="E137" i="26"/>
  <c r="B24" i="15"/>
  <c r="A20" i="15"/>
  <c r="B20" i="15"/>
  <c r="N10" i="10"/>
  <c r="P6" i="10" s="1"/>
  <c r="D33" i="7" s="1"/>
  <c r="E59" i="26"/>
  <c r="F59" i="26"/>
  <c r="G59" i="26" s="1"/>
  <c r="C39" i="7"/>
  <c r="L31" i="30"/>
  <c r="E39" i="7" s="1"/>
  <c r="AB9" i="3"/>
  <c r="A24" i="7"/>
  <c r="B24" i="7" s="1"/>
  <c r="H9" i="15"/>
  <c r="H11" i="15" s="1"/>
  <c r="U25" i="4"/>
  <c r="C36" i="4" s="1"/>
  <c r="F44" i="29"/>
  <c r="A43" i="29" s="1"/>
  <c r="F20" i="10"/>
  <c r="H20" i="10"/>
  <c r="L20" i="10"/>
  <c r="N20" i="10"/>
  <c r="B86" i="26"/>
  <c r="E104" i="26"/>
  <c r="C13" i="26"/>
  <c r="D13" i="26" s="1"/>
  <c r="B12" i="26"/>
  <c r="F128" i="26"/>
  <c r="G128" i="26" s="1"/>
  <c r="E128" i="26"/>
  <c r="A26" i="7"/>
  <c r="C38" i="19"/>
  <c r="F19" i="26"/>
  <c r="G19" i="26" s="1"/>
  <c r="E19" i="26"/>
  <c r="F134" i="26"/>
  <c r="G134" i="26" s="1"/>
  <c r="E134" i="26"/>
  <c r="E40" i="7"/>
  <c r="D40" i="7"/>
  <c r="D58" i="7"/>
  <c r="J24" i="10"/>
  <c r="E24" i="10"/>
  <c r="H24" i="10"/>
  <c r="L24" i="10"/>
  <c r="M24" i="10"/>
  <c r="D24" i="10"/>
  <c r="F24" i="10"/>
  <c r="E28" i="29"/>
  <c r="A77" i="26"/>
  <c r="B77" i="26"/>
  <c r="F12" i="26"/>
  <c r="G12" i="26" s="1"/>
  <c r="G4" i="15"/>
  <c r="C19" i="15"/>
  <c r="H15" i="15"/>
  <c r="H17" i="15" s="1"/>
  <c r="G22" i="15"/>
  <c r="A29" i="15"/>
  <c r="I12" i="4"/>
  <c r="C47" i="4" s="1"/>
  <c r="E49" i="4" s="1"/>
  <c r="D60" i="29"/>
  <c r="E59" i="29" s="1"/>
  <c r="P11" i="10"/>
  <c r="A33" i="7" s="1"/>
  <c r="G6" i="15"/>
  <c r="G25" i="15"/>
  <c r="G27" i="15" s="1"/>
  <c r="E48" i="7"/>
  <c r="C48" i="7"/>
  <c r="D48" i="7"/>
  <c r="K24" i="10"/>
  <c r="E111" i="26"/>
  <c r="E63" i="26"/>
  <c r="E41" i="26"/>
  <c r="E123" i="26"/>
  <c r="F108" i="26"/>
  <c r="G108" i="26" s="1"/>
  <c r="E108" i="26"/>
  <c r="F58" i="26"/>
  <c r="G58" i="26" s="1"/>
  <c r="U43" i="26"/>
  <c r="U35" i="26"/>
  <c r="F24" i="26"/>
  <c r="G24" i="26" s="1"/>
  <c r="G30" i="30"/>
  <c r="A38" i="7"/>
  <c r="L27" i="36"/>
  <c r="C88" i="26"/>
  <c r="D88" i="26" s="1"/>
  <c r="C83" i="26"/>
  <c r="D83" i="26" s="1"/>
  <c r="C81" i="26"/>
  <c r="D81" i="26" s="1"/>
  <c r="C79" i="26"/>
  <c r="D79" i="26" s="1"/>
  <c r="D37" i="7"/>
  <c r="L34" i="28"/>
  <c r="L39" i="28" s="1"/>
  <c r="L38" i="28"/>
  <c r="B55" i="26"/>
  <c r="A55" i="26"/>
  <c r="C55" i="26" s="1"/>
  <c r="D55" i="26" s="1"/>
  <c r="G26" i="30"/>
  <c r="E37" i="7"/>
  <c r="P37" i="28"/>
  <c r="P33" i="28"/>
  <c r="AB38" i="28"/>
  <c r="AB34" i="28"/>
  <c r="AB39" i="28" s="1"/>
  <c r="E51" i="7"/>
  <c r="C51" i="7"/>
  <c r="N22" i="37"/>
  <c r="T23" i="28"/>
  <c r="V23" i="28" s="1"/>
  <c r="D33" i="28"/>
  <c r="D37" i="28"/>
  <c r="V39" i="28"/>
  <c r="T45" i="28"/>
  <c r="V45" i="28" s="1"/>
  <c r="C71" i="26"/>
  <c r="C56" i="26"/>
  <c r="D56" i="26" s="1"/>
  <c r="H11" i="28"/>
  <c r="H15" i="28"/>
  <c r="E19" i="34"/>
  <c r="H33" i="28"/>
  <c r="T38" i="28"/>
  <c r="E15" i="34"/>
  <c r="L37" i="28"/>
  <c r="T16" i="28"/>
  <c r="E86" i="26" l="1"/>
  <c r="F78" i="26"/>
  <c r="G78" i="26" s="1"/>
  <c r="F80" i="26"/>
  <c r="G80" i="26" s="1"/>
  <c r="E82" i="26"/>
  <c r="F82" i="26"/>
  <c r="G82" i="26" s="1"/>
  <c r="C25" i="7"/>
  <c r="B25" i="7"/>
  <c r="D25" i="7"/>
  <c r="E25" i="7"/>
  <c r="K11" i="15"/>
  <c r="K17" i="15"/>
  <c r="X34" i="28"/>
  <c r="X39" i="28" s="1"/>
  <c r="AD37" i="28"/>
  <c r="AB43" i="28"/>
  <c r="AD43" i="28" s="1"/>
  <c r="L12" i="28"/>
  <c r="L17" i="28" s="1"/>
  <c r="L16" i="28"/>
  <c r="D23" i="34"/>
  <c r="F23" i="34" s="1"/>
  <c r="F17" i="28"/>
  <c r="D19" i="34"/>
  <c r="F19" i="34" s="1"/>
  <c r="D16" i="28"/>
  <c r="D22" i="28" s="1"/>
  <c r="F22" i="28" s="1"/>
  <c r="AD15" i="28"/>
  <c r="AB21" i="28"/>
  <c r="AD21" i="28" s="1"/>
  <c r="V37" i="28"/>
  <c r="T43" i="28"/>
  <c r="V43" i="28" s="1"/>
  <c r="F15" i="28"/>
  <c r="D21" i="28"/>
  <c r="F21" i="28" s="1"/>
  <c r="T21" i="28"/>
  <c r="V21" i="28" s="1"/>
  <c r="V15" i="28"/>
  <c r="Z37" i="28"/>
  <c r="X43" i="28"/>
  <c r="Z43" i="28" s="1"/>
  <c r="AB12" i="28"/>
  <c r="AB17" i="28" s="1"/>
  <c r="AD17" i="28" s="1"/>
  <c r="C58" i="7"/>
  <c r="E58" i="7"/>
  <c r="Q4" i="4"/>
  <c r="P34" i="28"/>
  <c r="P39" i="28" s="1"/>
  <c r="P38" i="28"/>
  <c r="Z39" i="28"/>
  <c r="X45" i="28"/>
  <c r="Z45" i="28" s="1"/>
  <c r="B48" i="7"/>
  <c r="A48" i="7"/>
  <c r="F15" i="32"/>
  <c r="J15" i="32"/>
  <c r="R37" i="28"/>
  <c r="P43" i="28"/>
  <c r="R43" i="28" s="1"/>
  <c r="X44" i="28"/>
  <c r="Z44" i="28" s="1"/>
  <c r="Z38" i="28"/>
  <c r="Z15" i="28"/>
  <c r="X21" i="28"/>
  <c r="Z21" i="28" s="1"/>
  <c r="D43" i="28"/>
  <c r="F43" i="28" s="1"/>
  <c r="F37" i="28"/>
  <c r="L44" i="28"/>
  <c r="N44" i="28" s="1"/>
  <c r="N38" i="28"/>
  <c r="A27" i="29"/>
  <c r="X12" i="28"/>
  <c r="X17" i="28" s="1"/>
  <c r="X16" i="28"/>
  <c r="F15" i="34"/>
  <c r="N39" i="28"/>
  <c r="L45" i="28"/>
  <c r="N45" i="28" s="1"/>
  <c r="E24" i="7"/>
  <c r="D24" i="7"/>
  <c r="C24" i="7"/>
  <c r="D38" i="7"/>
  <c r="C38" i="7"/>
  <c r="E38" i="7"/>
  <c r="F13" i="26"/>
  <c r="G13" i="26" s="1"/>
  <c r="E13" i="26"/>
  <c r="N37" i="28"/>
  <c r="L43" i="28"/>
  <c r="N43" i="28" s="1"/>
  <c r="D38" i="28"/>
  <c r="D34" i="28"/>
  <c r="D39" i="28" s="1"/>
  <c r="T22" i="28"/>
  <c r="V22" i="28" s="1"/>
  <c r="V16" i="28"/>
  <c r="C20" i="12"/>
  <c r="E67" i="7"/>
  <c r="E47" i="7"/>
  <c r="B76" i="26"/>
  <c r="A76" i="26"/>
  <c r="A49" i="7"/>
  <c r="B49" i="7"/>
  <c r="C77" i="26"/>
  <c r="D77" i="26" s="1"/>
  <c r="D22" i="7"/>
  <c r="E22" i="7"/>
  <c r="C22" i="7"/>
  <c r="J15" i="28"/>
  <c r="H21" i="28"/>
  <c r="J21" i="28" s="1"/>
  <c r="B51" i="7"/>
  <c r="B50" i="7"/>
  <c r="A51" i="7"/>
  <c r="F79" i="26"/>
  <c r="G79" i="26" s="1"/>
  <c r="E79" i="26"/>
  <c r="C21" i="7"/>
  <c r="H16" i="28"/>
  <c r="H12" i="28"/>
  <c r="H17" i="28" s="1"/>
  <c r="C36" i="7"/>
  <c r="E36" i="7"/>
  <c r="F81" i="26"/>
  <c r="G81" i="26" s="1"/>
  <c r="E81" i="26"/>
  <c r="C33" i="7"/>
  <c r="E33" i="7"/>
  <c r="B10" i="26"/>
  <c r="C11" i="26"/>
  <c r="D11" i="26" s="1"/>
  <c r="I16" i="3"/>
  <c r="W16" i="3" s="1"/>
  <c r="E23" i="7" s="1"/>
  <c r="P21" i="28"/>
  <c r="R21" i="28" s="1"/>
  <c r="R15" i="28"/>
  <c r="AD39" i="28"/>
  <c r="AB45" i="28"/>
  <c r="AD45" i="28" s="1"/>
  <c r="F55" i="26"/>
  <c r="G55" i="26" s="1"/>
  <c r="E55" i="26"/>
  <c r="AD16" i="28"/>
  <c r="AB22" i="28"/>
  <c r="AD22" i="28" s="1"/>
  <c r="E83" i="26"/>
  <c r="F83" i="26" s="1"/>
  <c r="G83" i="26" s="1"/>
  <c r="D26" i="7"/>
  <c r="B61" i="7"/>
  <c r="P12" i="28"/>
  <c r="P17" i="28" s="1"/>
  <c r="P16" i="28"/>
  <c r="T44" i="28"/>
  <c r="V44" i="28" s="1"/>
  <c r="V38" i="28"/>
  <c r="E56" i="26"/>
  <c r="F56" i="26"/>
  <c r="G56" i="26" s="1"/>
  <c r="AB44" i="28"/>
  <c r="AD44" i="28" s="1"/>
  <c r="AD38" i="28"/>
  <c r="F88" i="26"/>
  <c r="G88" i="26" s="1"/>
  <c r="E88" i="26"/>
  <c r="E59" i="7"/>
  <c r="D59" i="7"/>
  <c r="H38" i="28"/>
  <c r="H34" i="28"/>
  <c r="H39" i="28" s="1"/>
  <c r="G30" i="36"/>
  <c r="E46" i="7"/>
  <c r="A46" i="7" s="1"/>
  <c r="G29" i="36"/>
  <c r="G31" i="36"/>
  <c r="G32" i="36"/>
  <c r="G33" i="36"/>
  <c r="G34" i="36"/>
  <c r="B87" i="26"/>
  <c r="A89" i="26"/>
  <c r="C23" i="7"/>
  <c r="D23" i="7" l="1"/>
  <c r="I14" i="3"/>
  <c r="D21" i="7" s="1"/>
  <c r="J34" i="15"/>
  <c r="J35" i="15" s="1"/>
  <c r="J37" i="15" s="1"/>
  <c r="M39" i="15" s="1"/>
  <c r="C26" i="7" s="1"/>
  <c r="V40" i="28"/>
  <c r="V46" i="28"/>
  <c r="V18" i="28"/>
  <c r="V24" i="28"/>
  <c r="L22" i="28"/>
  <c r="N22" i="28" s="1"/>
  <c r="N16" i="28"/>
  <c r="N17" i="28"/>
  <c r="L23" i="28"/>
  <c r="N23" i="28" s="1"/>
  <c r="F16" i="28"/>
  <c r="Z46" i="28"/>
  <c r="AB23" i="28"/>
  <c r="AD23" i="28" s="1"/>
  <c r="N46" i="28"/>
  <c r="F18" i="28"/>
  <c r="F24" i="28"/>
  <c r="AD24" i="28"/>
  <c r="AD18" i="28"/>
  <c r="H44" i="28"/>
  <c r="J44" i="28" s="1"/>
  <c r="J38" i="28"/>
  <c r="R38" i="28"/>
  <c r="P44" i="28"/>
  <c r="R44" i="28" s="1"/>
  <c r="L15" i="32"/>
  <c r="K15" i="32"/>
  <c r="L20" i="32"/>
  <c r="D44" i="28"/>
  <c r="F44" i="28" s="1"/>
  <c r="F38" i="28"/>
  <c r="E11" i="26"/>
  <c r="F11" i="26"/>
  <c r="G11" i="26" s="1"/>
  <c r="G2" i="26" s="1"/>
  <c r="J31" i="26" s="1"/>
  <c r="G49" i="26"/>
  <c r="J48" i="26" s="1"/>
  <c r="N40" i="28"/>
  <c r="P45" i="28"/>
  <c r="R45" i="28" s="1"/>
  <c r="R39" i="28"/>
  <c r="J17" i="28"/>
  <c r="H23" i="28"/>
  <c r="J23" i="28" s="1"/>
  <c r="R16" i="28"/>
  <c r="P22" i="28"/>
  <c r="R22" i="28" s="1"/>
  <c r="R24" i="28" s="1"/>
  <c r="J16" i="28"/>
  <c r="J18" i="28" s="1"/>
  <c r="H22" i="28"/>
  <c r="J22" i="28" s="1"/>
  <c r="J24" i="28" s="1"/>
  <c r="F77" i="26"/>
  <c r="G77" i="26" s="1"/>
  <c r="E77" i="26"/>
  <c r="R17" i="28"/>
  <c r="P23" i="28"/>
  <c r="R23" i="28" s="1"/>
  <c r="E57" i="7"/>
  <c r="E69" i="7"/>
  <c r="B5" i="17"/>
  <c r="A90" i="26"/>
  <c r="B88" i="26"/>
  <c r="C89" i="26"/>
  <c r="D89" i="26" s="1"/>
  <c r="AD40" i="28"/>
  <c r="Z16" i="28"/>
  <c r="X22" i="28"/>
  <c r="Z22" i="28" s="1"/>
  <c r="J39" i="28"/>
  <c r="H45" i="28"/>
  <c r="J45" i="28" s="1"/>
  <c r="AD46" i="28"/>
  <c r="C76" i="26"/>
  <c r="D76" i="26" s="1"/>
  <c r="B75" i="26"/>
  <c r="C75" i="26" s="1"/>
  <c r="D75" i="26" s="1"/>
  <c r="F75" i="26" s="1"/>
  <c r="G75" i="26" s="1"/>
  <c r="F39" i="28"/>
  <c r="D45" i="28"/>
  <c r="F45" i="28" s="1"/>
  <c r="X23" i="28"/>
  <c r="Z23" i="28" s="1"/>
  <c r="Z17" i="28"/>
  <c r="Z40" i="28"/>
  <c r="W14" i="3" l="1"/>
  <c r="E21" i="7" s="1"/>
  <c r="B26" i="7"/>
  <c r="E26" i="7"/>
  <c r="F46" i="28"/>
  <c r="R18" i="28"/>
  <c r="R40" i="28"/>
  <c r="F40" i="28"/>
  <c r="Z24" i="28"/>
  <c r="N18" i="28"/>
  <c r="N24" i="28"/>
  <c r="Z18" i="28"/>
  <c r="R46" i="28"/>
  <c r="C22" i="12"/>
  <c r="N31" i="26"/>
  <c r="P31" i="26"/>
  <c r="L31" i="26"/>
  <c r="R31" i="26"/>
  <c r="T31" i="26"/>
  <c r="E76" i="26"/>
  <c r="F76" i="26"/>
  <c r="G76" i="26" s="1"/>
  <c r="E89" i="26"/>
  <c r="F89" i="26"/>
  <c r="G89" i="26" s="1"/>
  <c r="N48" i="26"/>
  <c r="P48" i="26"/>
  <c r="R48" i="26"/>
  <c r="L48" i="26"/>
  <c r="T48" i="26"/>
  <c r="C54" i="7"/>
  <c r="G27" i="19"/>
  <c r="J27" i="19" s="1"/>
  <c r="C90" i="26"/>
  <c r="D90" i="26" s="1"/>
  <c r="B89" i="26"/>
  <c r="A91" i="26"/>
  <c r="J40" i="28"/>
  <c r="J46" i="28"/>
  <c r="E20" i="7" l="1"/>
  <c r="B1" i="17"/>
  <c r="A3" i="28"/>
  <c r="D52" i="7" s="1"/>
  <c r="A52" i="7" s="1"/>
  <c r="E90" i="26"/>
  <c r="F90" i="26"/>
  <c r="G90" i="26" s="1"/>
  <c r="A92" i="26"/>
  <c r="B90" i="26"/>
  <c r="C91" i="26"/>
  <c r="D91" i="26" s="1"/>
  <c r="E54" i="7"/>
  <c r="D23" i="19"/>
  <c r="J33" i="19"/>
  <c r="U48" i="26"/>
  <c r="U31" i="26"/>
  <c r="E68" i="7" l="1"/>
  <c r="E53" i="7"/>
  <c r="B4" i="17" s="1"/>
  <c r="F91" i="26"/>
  <c r="G91" i="26" s="1"/>
  <c r="E91" i="26"/>
  <c r="B91" i="26"/>
  <c r="C92" i="26"/>
  <c r="D92" i="26" s="1"/>
  <c r="AA31" i="26"/>
  <c r="X31" i="26"/>
  <c r="E41" i="7" s="1"/>
  <c r="AB31" i="26"/>
  <c r="AC31" i="26"/>
  <c r="Z31" i="26"/>
  <c r="Z48" i="26"/>
  <c r="AA48" i="26"/>
  <c r="AB48" i="26"/>
  <c r="X48" i="26"/>
  <c r="E43" i="7" s="1"/>
  <c r="AC48" i="26"/>
  <c r="F92" i="26" l="1"/>
  <c r="G92" i="26" s="1"/>
  <c r="G70" i="26" s="1"/>
  <c r="J32" i="26" s="1"/>
  <c r="E92" i="26"/>
  <c r="D82" i="7"/>
  <c r="C21" i="12"/>
  <c r="C82" i="7"/>
  <c r="C30" i="12" s="1"/>
  <c r="D41" i="7"/>
  <c r="C41" i="7"/>
  <c r="A41" i="7"/>
  <c r="C43" i="7"/>
  <c r="D43" i="7"/>
  <c r="E81" i="7" l="1"/>
  <c r="E83" i="7"/>
  <c r="E30" i="12"/>
  <c r="L32" i="26"/>
  <c r="N32" i="26"/>
  <c r="R32" i="26"/>
  <c r="T32" i="26"/>
  <c r="P32" i="26"/>
  <c r="U32" i="26" l="1"/>
  <c r="AC32" i="26" l="1"/>
  <c r="X32" i="26"/>
  <c r="E42" i="7" s="1"/>
  <c r="Z32" i="26"/>
  <c r="AB32" i="26"/>
  <c r="AA32" i="26"/>
  <c r="D42" i="7" l="1"/>
  <c r="A42" i="7"/>
  <c r="C42" i="7"/>
  <c r="E32" i="7"/>
  <c r="E65" i="7" s="1"/>
  <c r="E66" i="7" s="1"/>
  <c r="B3" i="17"/>
  <c r="A45" i="7"/>
  <c r="A38" i="11" l="1"/>
  <c r="E70" i="7"/>
  <c r="C19" i="12"/>
  <c r="AD25" i="3"/>
  <c r="D81" i="7"/>
  <c r="D83" i="7" l="1"/>
  <c r="E29" i="12"/>
  <c r="D2" i="34"/>
  <c r="C23" i="12"/>
  <c r="AD10" i="3"/>
  <c r="AB10" i="3" s="1"/>
  <c r="A61" i="7" s="1"/>
  <c r="C19" i="34" l="1"/>
  <c r="I19" i="34" s="1"/>
  <c r="J19" i="34" s="1"/>
  <c r="L19" i="34" s="1"/>
  <c r="C15" i="34"/>
  <c r="I15" i="34" s="1"/>
  <c r="J15" i="34" s="1"/>
  <c r="L15" i="34" s="1"/>
  <c r="C23" i="34"/>
  <c r="I23" i="34" s="1"/>
  <c r="J23" i="34" s="1"/>
  <c r="L23" i="34" s="1"/>
  <c r="C83" i="7"/>
  <c r="C31" i="12" s="1"/>
  <c r="E31" i="12"/>
  <c r="H6"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Eric Delamarre</author>
  </authors>
  <commentList>
    <comment ref="C5" authorId="0" shapeId="0" xr:uid="{00000000-0006-0000-0200-000001000000}">
      <text>
        <r>
          <rPr>
            <b/>
            <sz val="9"/>
            <color rgb="FF000000"/>
            <rFont val="Arial"/>
            <family val="2"/>
          </rPr>
          <t>Vous êtes à la chambre des metiers avec un numéro RM. Vous faites un bilan annuel, vous déclarez des frais réel</t>
        </r>
      </text>
    </comment>
    <comment ref="C6" authorId="0" shapeId="0" xr:uid="{00000000-0006-0000-0200-000002000000}">
      <text>
        <r>
          <rPr>
            <b/>
            <sz val="9"/>
            <color indexed="8"/>
            <rFont val="Arial"/>
            <family val="2"/>
          </rPr>
          <t>Vous avez un numéro RM et vous relevez de la chambre des métiers</t>
        </r>
        <r>
          <rPr>
            <sz val="9"/>
            <color indexed="8"/>
            <rFont val="Arial"/>
            <family val="2"/>
          </rPr>
          <t xml:space="preserve">
</t>
        </r>
      </text>
    </comment>
    <comment ref="C7" authorId="0" shapeId="0" xr:uid="{00000000-0006-0000-0200-000003000000}">
      <text>
        <r>
          <rPr>
            <b/>
            <sz val="9"/>
            <color indexed="8"/>
            <rFont val="Arial"/>
            <family val="2"/>
          </rPr>
          <t>Vous êtes inscrit comme libéral au moment de la déclaration d'activité, vous relevez de l'urssaf</t>
        </r>
      </text>
    </comment>
    <comment ref="C8" authorId="0" shapeId="0" xr:uid="{00000000-0006-0000-0200-000004000000}">
      <text>
        <r>
          <rPr>
            <b/>
            <sz val="9"/>
            <color indexed="8"/>
            <rFont val="Arial"/>
            <family val="2"/>
          </rPr>
          <t>Vous êtes auteur à l'agessa, peu importe la façon dont vous déclarez vos bénéfices (réel ou régime spécial)</t>
        </r>
        <r>
          <rPr>
            <sz val="9"/>
            <color indexed="8"/>
            <rFont val="Arial"/>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Eric Delamarre</author>
  </authors>
  <commentList>
    <comment ref="C15" authorId="0" shapeId="0" xr:uid="{00000000-0006-0000-0300-000001000000}">
      <text>
        <r>
          <rPr>
            <sz val="14"/>
            <color indexed="81"/>
            <rFont val="Arial"/>
            <family val="2"/>
          </rPr>
          <t>A ne renseigner que si votre client est dans la communautté europeenne, inutlle pour les facturation interne à la France</t>
        </r>
      </text>
    </comment>
    <comment ref="D15" authorId="0" shapeId="0" xr:uid="{00000000-0006-0000-0300-000002000000}">
      <text>
        <r>
          <rPr>
            <sz val="14"/>
            <color indexed="81"/>
            <rFont val="Arial"/>
            <family val="2"/>
          </rPr>
          <t xml:space="preserve">Ecrire export si votre client est etranger en dehors de l'union europeenne et UE s'il est dans l'union europeenne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Eric Delamarre</author>
  </authors>
  <commentList>
    <comment ref="AC15" authorId="0" shapeId="0" xr:uid="{00000000-0006-0000-0600-000001000000}">
      <text>
        <r>
          <rPr>
            <sz val="12"/>
            <color indexed="81"/>
            <rFont val="Arial"/>
            <family val="2"/>
          </rPr>
          <t>Cela correspond au nombre de jours que vous vendez en poyenne sur une année sachant que la grande majorité des photographes ont de 50 à 100 jours au mieux de jours vendus</t>
        </r>
      </text>
    </comment>
    <comment ref="AC16" authorId="0" shapeId="0" xr:uid="{00000000-0006-0000-0600-000002000000}">
      <text>
        <r>
          <rPr>
            <sz val="12"/>
            <color indexed="81"/>
            <rFont val="Arial"/>
            <family val="2"/>
          </rPr>
          <t>Cela correspond à l'ensemble de vos besoins personnels. On pourrait imaginer cela comme un équavalent au salaire en ce qui concerne le montant</t>
        </r>
      </text>
    </comment>
    <comment ref="AC17" authorId="0" shapeId="0" xr:uid="{00000000-0006-0000-0600-000003000000}">
      <text>
        <r>
          <rPr>
            <sz val="12"/>
            <color indexed="81"/>
            <rFont val="Arial"/>
            <family val="2"/>
          </rPr>
          <t>Cela correspond au fraix fixes annuels professionnels dans lesquels sont notamment inclus les cotisations sociales, entretien matériel, assurance, edf, telephone pour la part pro, etc...</t>
        </r>
      </text>
    </comment>
    <comment ref="AC18" authorId="0" shapeId="0" xr:uid="{00000000-0006-0000-0600-000004000000}">
      <text>
        <r>
          <rPr>
            <sz val="12"/>
            <color indexed="81"/>
            <rFont val="Arial"/>
            <family val="2"/>
          </rPr>
          <t xml:space="preserve">Pour ne pas être tributaire des aléa de paiement il est necessaire d'avoir de l'argent possible au moins 3 mois de chiffre d'affaires au mieux un an </t>
        </r>
      </text>
    </comment>
    <comment ref="E22" authorId="0" shapeId="0" xr:uid="{00000000-0006-0000-0600-000005000000}">
      <text>
        <r>
          <rPr>
            <b/>
            <sz val="16"/>
            <color indexed="8"/>
            <rFont val="Arial"/>
            <family val="2"/>
          </rPr>
          <t>Ces lignes servent à tout ce qui concerne la mofication des fichiers et non la  calibration ou la dérawtisation qui sont devisés forfaitairement au dessus.</t>
        </r>
        <r>
          <rPr>
            <sz val="9"/>
            <color indexed="8"/>
            <rFont val="Arial"/>
            <family val="2"/>
          </rPr>
          <t xml:space="preserve">
</t>
        </r>
      </text>
    </comment>
    <comment ref="E27" authorId="0" shapeId="0" xr:uid="{00000000-0006-0000-0600-000006000000}">
      <text>
        <r>
          <rPr>
            <b/>
            <sz val="16"/>
            <color indexed="8"/>
            <rFont val="Arial"/>
            <family val="2"/>
          </rPr>
          <t>La valorisation du temps de trajet est estimé soit en ajoutant un temps passé + des indemnités km ou alors en appliquant un coefficient de majoration au prix du km sur l'onglet "hebergement et km"</t>
        </r>
        <r>
          <rPr>
            <sz val="9"/>
            <color indexed="8"/>
            <rFont val="Arial"/>
            <family val="2"/>
          </rPr>
          <t xml:space="preserve">
</t>
        </r>
      </text>
    </comment>
  </commentList>
</comments>
</file>

<file path=xl/sharedStrings.xml><?xml version="1.0" encoding="utf-8"?>
<sst xmlns="http://schemas.openxmlformats.org/spreadsheetml/2006/main" count="1505" uniqueCount="1270">
  <si>
    <t>non</t>
    <phoneticPr fontId="50" type="noConversion"/>
  </si>
  <si>
    <t>x</t>
    <phoneticPr fontId="50" type="noConversion"/>
  </si>
  <si>
    <t>Posters, affichettes, objets publicitaires</t>
    <phoneticPr fontId="50" type="noConversion"/>
  </si>
  <si>
    <r>
      <t>AFFICHAGE supérieur à 10m</t>
    </r>
    <r>
      <rPr>
        <b/>
        <vertAlign val="superscript"/>
        <sz val="16"/>
        <color indexed="9"/>
        <rFont val="Arial"/>
        <family val="2"/>
      </rPr>
      <t>2</t>
    </r>
    <r>
      <rPr>
        <i/>
        <sz val="14"/>
        <color indexed="9"/>
        <rFont val="Arial"/>
        <family val="2"/>
      </rPr>
      <t xml:space="preserve">  (Quai de métro, rue...)</t>
    </r>
    <phoneticPr fontId="50" type="noConversion"/>
  </si>
  <si>
    <r>
      <t>AFFICHAGE inférieur à 10m</t>
    </r>
    <r>
      <rPr>
        <b/>
        <vertAlign val="superscript"/>
        <sz val="16"/>
        <color indexed="9"/>
        <rFont val="Arial"/>
        <family val="2"/>
      </rPr>
      <t>2</t>
    </r>
    <r>
      <rPr>
        <b/>
        <sz val="16"/>
        <color indexed="9"/>
        <rFont val="Arial"/>
        <family val="2"/>
      </rPr>
      <t xml:space="preserve">  </t>
    </r>
    <r>
      <rPr>
        <i/>
        <sz val="14"/>
        <color indexed="9"/>
        <rFont val="Arial"/>
        <family val="2"/>
      </rPr>
      <t>(couloir de métro, flanc de bus, Abribus…)</t>
    </r>
    <phoneticPr fontId="50" type="noConversion"/>
  </si>
  <si>
    <t>A utiliser aussi pour les mailing, leaflet, dépliants, le client édite mais ne paye pas d'espace.</t>
    <phoneticPr fontId="50" type="noConversion"/>
  </si>
  <si>
    <t>Pourrait aussi être utilisé pour la réalisation de badges par extension.</t>
    <phoneticPr fontId="50" type="noConversion"/>
  </si>
  <si>
    <t>A  utiliser pour les pages de publicité dans la presse (l'espace est acheté par le client).</t>
    <phoneticPr fontId="50" type="noConversion"/>
  </si>
  <si>
    <t>Les frais de déplacement et autres éventuels sont toujours en plus, utilisez les onglets correspondants</t>
    <phoneticPr fontId="50" type="noConversion"/>
  </si>
  <si>
    <t>Mettre un X pour sélectionner la tranche</t>
    <phoneticPr fontId="50" type="noConversion"/>
  </si>
  <si>
    <t>Column154</t>
  </si>
  <si>
    <t>Column155</t>
  </si>
  <si>
    <t>Column91</t>
  </si>
  <si>
    <t>Pauses</t>
    <phoneticPr fontId="50" type="noConversion"/>
  </si>
  <si>
    <t>nbre de pers</t>
    <phoneticPr fontId="50" type="noConversion"/>
  </si>
  <si>
    <t>La première prise de vue est toujours facturée au taux plein, pour compenser le temps de mise en place</t>
    <phoneticPr fontId="50" type="noConversion"/>
  </si>
  <si>
    <t>Notes carburant</t>
    <phoneticPr fontId="50" type="noConversion"/>
  </si>
  <si>
    <t>C00067</t>
  </si>
  <si>
    <t>Remplir</t>
    <phoneticPr fontId="50" type="noConversion"/>
  </si>
  <si>
    <t>Column99</t>
  </si>
  <si>
    <t>1 heure</t>
    <phoneticPr fontId="50" type="noConversion"/>
  </si>
  <si>
    <t>C00021</t>
  </si>
  <si>
    <t>intérêts dus au prorata du temps écoulé</t>
    <phoneticPr fontId="12" type="noConversion"/>
  </si>
  <si>
    <t>il est possible de modifier manuellement ce montant(vous perdrez la formule)</t>
    <phoneticPr fontId="50" type="noConversion"/>
  </si>
  <si>
    <t>coefficient de modération pour le détourage</t>
    <phoneticPr fontId="50" type="noConversion"/>
  </si>
  <si>
    <t>Le taux légal majoré s'applique au delà de 2 mois de retard</t>
    <phoneticPr fontId="12" type="noConversion"/>
  </si>
  <si>
    <t xml:space="preserve">Compter </t>
    <phoneticPr fontId="50" type="noConversion"/>
  </si>
  <si>
    <t>Indiquer pour chaque format le nombre d'images</t>
    <phoneticPr fontId="50" type="noConversion"/>
  </si>
  <si>
    <t>Conseil pour le forfait de mise en place de 30 à 60 €</t>
    <phoneticPr fontId="50" type="noConversion"/>
  </si>
  <si>
    <t xml:space="preserve"> (2 œuvres du même auteur sur la même face)</t>
    <phoneticPr fontId="50" type="noConversion"/>
  </si>
  <si>
    <t>Utilisez cette ligne si vous voulez facturer le temps de déplacement, dans le cas contraire ce sera basé sur une majoration du prix du km modifiable sur l'onglet calcul déplacement</t>
    <phoneticPr fontId="45" type="noConversion"/>
  </si>
  <si>
    <t>Somme totale avec frais</t>
    <phoneticPr fontId="12" type="noConversion"/>
  </si>
  <si>
    <t>Mettre un "X"</t>
    <phoneticPr fontId="50" type="noConversion"/>
  </si>
  <si>
    <t>Ref de la commande  :</t>
    <phoneticPr fontId="50" type="noConversion"/>
  </si>
  <si>
    <t>N° Intracomm TVA :</t>
    <phoneticPr fontId="45" type="noConversion"/>
  </si>
  <si>
    <t>Régime TVA  :</t>
    <phoneticPr fontId="50" type="noConversion"/>
  </si>
  <si>
    <t>voir Base client</t>
    <phoneticPr fontId="50" type="noConversion"/>
  </si>
  <si>
    <t>Pour remiser</t>
    <phoneticPr fontId="50" type="noConversion"/>
  </si>
  <si>
    <t>% de remise</t>
    <phoneticPr fontId="50" type="noConversion"/>
  </si>
  <si>
    <r>
      <t xml:space="preserve">Remplir le nombre d'heure ou de personne dans la catégorie et la durée qui correspond à votre demande pour avoir une estimation du montant de la prestation. </t>
    </r>
    <r>
      <rPr>
        <b/>
        <i/>
        <sz val="18"/>
        <color indexed="8"/>
        <rFont val="Calibri"/>
        <family val="2"/>
      </rPr>
      <t>(à confirmer impérativement auprès des agences) et ne tient pas compte d'un éventuel droit à l'image toujours négociable .</t>
    </r>
    <phoneticPr fontId="50" type="noConversion"/>
  </si>
  <si>
    <t>Basé sur le taux de la BCE  ( majoré de 10points)</t>
    <phoneticPr fontId="12" type="noConversion"/>
  </si>
  <si>
    <t>….</t>
    <phoneticPr fontId="45" type="noConversion"/>
  </si>
  <si>
    <t>selon la loi première tranche 0 à 25</t>
    <phoneticPr fontId="50" type="noConversion"/>
  </si>
  <si>
    <r>
      <t xml:space="preserve">Presse et publications assimilées  </t>
    </r>
    <r>
      <rPr>
        <i/>
        <sz val="14"/>
        <color indexed="9"/>
        <rFont val="Arial"/>
        <family val="2"/>
      </rPr>
      <t>(annonce pub…)</t>
    </r>
    <phoneticPr fontId="50" type="noConversion"/>
  </si>
  <si>
    <t>Le temps passé par personne en minute est le temps de prise de vue pour une photo livrée si vous en livrez plusieurs différentes cela vous prendra plus de temps de prises de vue.Il vous est donc proposé d'évaluer ce temps supplémentaire pour évaluer tant le temps de prises de vue que la valeur de la prestation. Etant entendu que la livraison d'une photo supplémentaire est simplement issue d'une sélection plus large et non de mise en place spécifique, ce qui serait considéré comme une nouvelle photo.</t>
    <phoneticPr fontId="50" type="noConversion"/>
  </si>
  <si>
    <t>Retouche créative</t>
    <phoneticPr fontId="45" type="noConversion"/>
  </si>
  <si>
    <t>Somme échue</t>
    <phoneticPr fontId="12" type="noConversion"/>
  </si>
  <si>
    <t>date d'échéance</t>
    <phoneticPr fontId="12" type="noConversion"/>
  </si>
  <si>
    <t>Somme totale avec frais</t>
    <phoneticPr fontId="12" type="noConversion"/>
  </si>
  <si>
    <t>C00096</t>
  </si>
  <si>
    <t xml:space="preserve">Faire une "X" pour transformer en FORFAIT </t>
    <phoneticPr fontId="45" type="noConversion"/>
  </si>
  <si>
    <t>Somme échue</t>
    <phoneticPr fontId="12" type="noConversion"/>
  </si>
  <si>
    <t>Première tranche 0 à 65</t>
    <phoneticPr fontId="50" type="noConversion"/>
  </si>
  <si>
    <t xml:space="preserve">du : </t>
    <phoneticPr fontId="45" type="noConversion"/>
  </si>
  <si>
    <t>Column180</t>
  </si>
  <si>
    <t>Column45</t>
  </si>
  <si>
    <t>N° intracom. de TVA</t>
    <phoneticPr fontId="50" type="noConversion"/>
  </si>
  <si>
    <t>Column6</t>
  </si>
  <si>
    <t>75018 PARLABA</t>
    <phoneticPr fontId="50" type="noConversion"/>
  </si>
  <si>
    <t>1 semaine</t>
  </si>
  <si>
    <t>Column12</t>
  </si>
  <si>
    <t>Voir règles de TVA concernant les seuils et option de TVA</t>
    <phoneticPr fontId="50" type="noConversion"/>
  </si>
  <si>
    <t>Le minimum est de 3 X le taux d'intérêt légal</t>
    <phoneticPr fontId="12" type="noConversion"/>
  </si>
  <si>
    <t>majoration site tiers (mettre une X)</t>
  </si>
  <si>
    <t>Créancier (à qui l'argent est dû)</t>
  </si>
  <si>
    <t xml:space="preserve">Minimum légal </t>
    <phoneticPr fontId="12" type="noConversion"/>
  </si>
  <si>
    <t>selon la loi première tranche 0 à 50</t>
    <phoneticPr fontId="50" type="noConversion"/>
  </si>
  <si>
    <t>selon la loi première tranche 0 à 500</t>
    <phoneticPr fontId="50" type="noConversion"/>
  </si>
  <si>
    <t>Nbr/jr dépassement</t>
    <phoneticPr fontId="12" type="noConversion"/>
  </si>
  <si>
    <t>C00019</t>
  </si>
  <si>
    <t>UPP 2015</t>
    <phoneticPr fontId="50" type="noConversion"/>
  </si>
  <si>
    <t xml:space="preserve"> (4 œuvres du même auteur sur la même face)</t>
    <phoneticPr fontId="50" type="noConversion"/>
  </si>
  <si>
    <t>C00016</t>
  </si>
  <si>
    <t>Valeur du point en euros</t>
    <phoneticPr fontId="50" type="noConversion"/>
  </si>
  <si>
    <t>Les calculs de ce tableaux sont réalisés à partir des principaux barèmes de droits pour les œuvres préexistantes. Pour les œuvres de commande il faut appliquer un coefficient réducteur [diviseur] en moyenne de 3 à 4 fois moins élevé.</t>
    <phoneticPr fontId="50" type="noConversion"/>
  </si>
  <si>
    <t>Frais fixes minimum légaux</t>
    <phoneticPr fontId="12" type="noConversion"/>
  </si>
  <si>
    <t xml:space="preserve">date de calcul des intérêt </t>
    <phoneticPr fontId="12" type="noConversion"/>
  </si>
  <si>
    <t>date d'échéance</t>
    <phoneticPr fontId="12" type="noConversion"/>
  </si>
  <si>
    <t>x</t>
    <phoneticPr fontId="50" type="noConversion"/>
  </si>
  <si>
    <t>x</t>
    <phoneticPr fontId="50" type="noConversion"/>
  </si>
  <si>
    <t>Pourcentage d'ajustement "grande quantité"</t>
    <phoneticPr fontId="50" type="noConversion"/>
  </si>
  <si>
    <t>Column41</t>
  </si>
  <si>
    <t>Column139</t>
  </si>
  <si>
    <t>Hotel / Pdéj</t>
    <phoneticPr fontId="50" type="noConversion"/>
  </si>
  <si>
    <t>C00098</t>
  </si>
  <si>
    <t>Sélection par une "X"</t>
    <phoneticPr fontId="50" type="noConversion"/>
  </si>
  <si>
    <t>La mention :</t>
    <phoneticPr fontId="50" type="noConversion"/>
  </si>
  <si>
    <t>Taux d'intérêt légal</t>
  </si>
  <si>
    <t>Nbr/jr dépassement</t>
  </si>
  <si>
    <t>date de calcul des intérêt</t>
  </si>
  <si>
    <t xml:space="preserve">  2 heures</t>
    <phoneticPr fontId="45" type="noConversion"/>
  </si>
  <si>
    <t>date d'échéance</t>
  </si>
  <si>
    <t>Somme échue</t>
  </si>
  <si>
    <t>Retouche créative</t>
    <phoneticPr fontId="50" type="noConversion"/>
  </si>
  <si>
    <t>coefficient de modération pour la retouche</t>
    <phoneticPr fontId="50" type="noConversion"/>
  </si>
  <si>
    <t>Column136</t>
  </si>
  <si>
    <t>intérêts dus au prorata du temps écoulé</t>
    <phoneticPr fontId="12" type="noConversion"/>
  </si>
  <si>
    <t>Première tranche 0 à 1</t>
    <phoneticPr fontId="50" type="noConversion"/>
  </si>
  <si>
    <t>D</t>
    <phoneticPr fontId="45" type="noConversion"/>
  </si>
  <si>
    <t>E</t>
    <phoneticPr fontId="45" type="noConversion"/>
  </si>
  <si>
    <t>Column119</t>
  </si>
  <si>
    <t>C00092</t>
  </si>
  <si>
    <t>Frais de déplacement</t>
    <phoneticPr fontId="50" type="noConversion"/>
  </si>
  <si>
    <t xml:space="preserve">Montant TTC de la facture </t>
    <phoneticPr fontId="12" type="noConversion"/>
  </si>
  <si>
    <t>TOTAL FRAIS DE DÉPLACEMENT</t>
    <phoneticPr fontId="50" type="noConversion"/>
  </si>
  <si>
    <t>pdv de 3 objets avec mise en lumière</t>
    <phoneticPr fontId="50" type="noConversion"/>
  </si>
  <si>
    <t>Première tranche 0 à 12</t>
    <phoneticPr fontId="50" type="noConversion"/>
  </si>
  <si>
    <t>Quantité</t>
    <phoneticPr fontId="50" type="noConversion"/>
  </si>
  <si>
    <r>
      <t>66</t>
    </r>
    <r>
      <rPr>
        <b/>
        <sz val="14"/>
        <color indexed="8"/>
        <rFont val="Calibri"/>
        <family val="2"/>
      </rPr>
      <t xml:space="preserve"> A PERSONNALISER </t>
    </r>
    <r>
      <rPr>
        <b/>
        <sz val="14"/>
        <color indexed="8"/>
        <rFont val="Wingdings 3"/>
        <charset val="2"/>
      </rPr>
      <t>66</t>
    </r>
    <phoneticPr fontId="45" type="noConversion"/>
  </si>
  <si>
    <t>TOTAL</t>
    <phoneticPr fontId="50" type="noConversion"/>
  </si>
  <si>
    <t>Avec commission agence</t>
    <phoneticPr fontId="50" type="noConversion"/>
  </si>
  <si>
    <t>Salaires bruts</t>
    <phoneticPr fontId="50" type="noConversion"/>
  </si>
  <si>
    <t>Péages</t>
    <phoneticPr fontId="50" type="noConversion"/>
  </si>
  <si>
    <t>Débiteur (qui doit)</t>
  </si>
  <si>
    <t>Column24</t>
  </si>
  <si>
    <t>C00088</t>
  </si>
  <si>
    <t>Column64</t>
  </si>
  <si>
    <t>Calculé sur la valeur moyenne</t>
    <phoneticPr fontId="50" type="noConversion"/>
  </si>
  <si>
    <t>Calculé sur la valeur la plus basse</t>
    <phoneticPr fontId="50" type="noConversion"/>
  </si>
  <si>
    <t>Column240</t>
  </si>
  <si>
    <t>minutes</t>
    <phoneticPr fontId="50" type="noConversion"/>
  </si>
  <si>
    <t>Column163</t>
  </si>
  <si>
    <t>Ce tableau permet de visualiser les pertes ou gains réels engendrés en cas d'écart entre les estimations de temps et le temps réel effectué</t>
    <phoneticPr fontId="50" type="noConversion"/>
  </si>
  <si>
    <t>POST PRODUCTION et DÉV. NUM.</t>
    <phoneticPr fontId="50" type="noConversion"/>
  </si>
  <si>
    <t xml:space="preserve">Les cases jaunes sont modifiables pour s'adapter à votre projet </t>
    <phoneticPr fontId="50" type="noConversion"/>
  </si>
  <si>
    <t>Montage</t>
    <phoneticPr fontId="50" type="noConversion"/>
  </si>
  <si>
    <t>≤ 10.000 visites</t>
    <phoneticPr fontId="50" type="noConversion"/>
  </si>
  <si>
    <t>&gt; 5.000.000 visites</t>
    <phoneticPr fontId="50" type="noConversion"/>
  </si>
  <si>
    <t>Column165</t>
  </si>
  <si>
    <t>C00036</t>
  </si>
  <si>
    <t>C00097</t>
  </si>
  <si>
    <t>Première tranche 0 à 7</t>
    <phoneticPr fontId="50" type="noConversion"/>
  </si>
  <si>
    <r>
      <t xml:space="preserve">Responsable </t>
    </r>
    <r>
      <rPr>
        <i/>
        <sz val="13"/>
        <color indexed="9"/>
        <rFont val="Calibri"/>
        <family val="2"/>
      </rPr>
      <t>(pas obligatoire mais conseillé)</t>
    </r>
    <phoneticPr fontId="50" type="noConversion"/>
  </si>
  <si>
    <t>Column11</t>
  </si>
  <si>
    <t xml:space="preserve"> ≤ 2 ans</t>
    <phoneticPr fontId="50" type="noConversion"/>
  </si>
  <si>
    <t>[ x ou t ]</t>
    <phoneticPr fontId="50" type="noConversion"/>
  </si>
  <si>
    <t>Indiquer le coefficient jour correspondant à la durée souhaitée</t>
    <phoneticPr fontId="50" type="noConversion"/>
  </si>
  <si>
    <t>selon la loi première tranche 0 à 250</t>
    <phoneticPr fontId="50" type="noConversion"/>
  </si>
  <si>
    <t>quantité</t>
    <phoneticPr fontId="50" type="noConversion"/>
  </si>
  <si>
    <t>selon la loi première tranche 0 à 1000</t>
    <phoneticPr fontId="50" type="noConversion"/>
  </si>
  <si>
    <t>En l'absence d'information les droits sont considérés comme "non cédés". Remplir les cases même si vous faites cadeau des droits à votre client, cela lui permet de prendre conscience de l'effort financier que vous faites et du montant de la remise que représente les droits.</t>
    <phoneticPr fontId="50" type="noConversion"/>
  </si>
  <si>
    <t>chambre</t>
    <phoneticPr fontId="50" type="noConversion"/>
  </si>
  <si>
    <t>Créancier (à qui l'argent est dû)</t>
    <phoneticPr fontId="12" type="noConversion"/>
  </si>
  <si>
    <t>Taux d'intérêt légal</t>
    <phoneticPr fontId="12" type="noConversion"/>
  </si>
  <si>
    <t>Column140</t>
  </si>
  <si>
    <t xml:space="preserve">Mettre un "x" si vous offrez ces droits </t>
    <phoneticPr fontId="50" type="noConversion"/>
  </si>
  <si>
    <t>Si œuvre préexistante (coeff de majoration)</t>
    <phoneticPr fontId="50" type="noConversion"/>
  </si>
  <si>
    <t>quantité</t>
    <phoneticPr fontId="50" type="noConversion"/>
  </si>
  <si>
    <t>Droit de réprésentation sur œuvre de commande (entre 400 et 800 € pour 1 mois)</t>
    <phoneticPr fontId="50" type="noConversion"/>
  </si>
  <si>
    <t>Pénalités de retard, 12% (doublées pour les remboursements de frais) majorées d'une indemnité forfaitaire de 40 € pour frais de recouvrement. (selon le décret n° 2012-1115 du 2/10/2012)</t>
    <phoneticPr fontId="50" type="noConversion"/>
  </si>
  <si>
    <t>plus de 5</t>
    <phoneticPr fontId="45" type="noConversion"/>
  </si>
  <si>
    <t>Column221</t>
  </si>
  <si>
    <t>CODE IBAN</t>
    <phoneticPr fontId="50" type="noConversion"/>
  </si>
  <si>
    <t>Nombre de personnes à photographier</t>
    <phoneticPr fontId="50" type="noConversion"/>
  </si>
  <si>
    <t>Column148</t>
  </si>
  <si>
    <t>C00071</t>
  </si>
  <si>
    <t>C00072</t>
  </si>
  <si>
    <t xml:space="preserve">Tout ce qui est préparation, casting, etc </t>
    <phoneticPr fontId="45" type="noConversion"/>
  </si>
  <si>
    <t>Prises de vue "basiques" de type "packshot"</t>
    <phoneticPr fontId="45" type="noConversion"/>
  </si>
  <si>
    <t>Durée de la location en heures ou en jours (automaitque)</t>
    <phoneticPr fontId="50" type="noConversion"/>
  </si>
  <si>
    <t xml:space="preserve">Prises de vue avec mise en scène </t>
    <phoneticPr fontId="45" type="noConversion"/>
  </si>
  <si>
    <t>Créancier (à qui l'argent est dû)</t>
    <phoneticPr fontId="12" type="noConversion"/>
  </si>
  <si>
    <t>Débiteur (qui doit)</t>
    <phoneticPr fontId="12" type="noConversion"/>
  </si>
  <si>
    <t>minoration site non lucratifs (mettre une X)</t>
  </si>
  <si>
    <t>≤ 50 photos</t>
    <phoneticPr fontId="50" type="noConversion"/>
  </si>
  <si>
    <t>Column188</t>
  </si>
  <si>
    <t>1 ou 2</t>
    <phoneticPr fontId="45" type="noConversion"/>
  </si>
  <si>
    <t>Column81</t>
  </si>
  <si>
    <t>Inscrire la plus grande dimension du sujet dans la case jaune</t>
    <phoneticPr fontId="50" type="noConversion"/>
  </si>
  <si>
    <t>Restaurants</t>
    <phoneticPr fontId="50" type="noConversion"/>
  </si>
  <si>
    <t>C00062</t>
  </si>
  <si>
    <t>Column137</t>
  </si>
  <si>
    <t>CV</t>
    <phoneticPr fontId="45" type="noConversion"/>
  </si>
  <si>
    <t>C00090</t>
  </si>
  <si>
    <t>Première tranche 0 à 7</t>
  </si>
  <si>
    <t xml:space="preserve">Propositions de % "intervention personnelle" à adopter dans les calculs </t>
    <phoneticPr fontId="45" type="noConversion"/>
  </si>
  <si>
    <t>1 heure congés payés inclus</t>
    <phoneticPr fontId="50" type="noConversion"/>
  </si>
  <si>
    <t>-</t>
    <phoneticPr fontId="12" type="noConversion"/>
  </si>
  <si>
    <t>Nombre de photos demandées</t>
  </si>
  <si>
    <t xml:space="preserve">Coût d'étalissement de la fiche de paye </t>
    <phoneticPr fontId="50" type="noConversion"/>
  </si>
  <si>
    <t>Taux de majoration de la BCE</t>
    <phoneticPr fontId="12" type="noConversion"/>
  </si>
  <si>
    <t>C</t>
    <phoneticPr fontId="45" type="noConversion"/>
  </si>
  <si>
    <t>Intérêt dus pour une année compête</t>
  </si>
  <si>
    <t>3 jours</t>
  </si>
  <si>
    <t>Intérêt dus pour une année compête</t>
    <phoneticPr fontId="12" type="noConversion"/>
  </si>
  <si>
    <t>Première tranche 0 à 400</t>
    <phoneticPr fontId="50" type="noConversion"/>
  </si>
  <si>
    <r>
      <t>CESSION DE DROIT EXPOSITION POUR STAND, LOCAUX COMMERCIAUX, HALL D'ENTREPRISE, KAKEMONO, ROLL UP …</t>
    </r>
    <r>
      <rPr>
        <sz val="16"/>
        <color indexed="9"/>
        <rFont val="Arial"/>
        <family val="2"/>
      </rPr>
      <t xml:space="preserve"> </t>
    </r>
    <r>
      <rPr>
        <i/>
        <sz val="16"/>
        <color indexed="9"/>
        <rFont val="Arial"/>
        <family val="2"/>
      </rPr>
      <t>à utiliser pour les demandes d'entreprises suite à une commande</t>
    </r>
    <r>
      <rPr>
        <b/>
        <i/>
        <sz val="16"/>
        <color indexed="9"/>
        <rFont val="Arial"/>
        <family val="2"/>
      </rPr>
      <t xml:space="preserve"> </t>
    </r>
    <phoneticPr fontId="50" type="noConversion"/>
  </si>
  <si>
    <t>Journée de 5 à 8 heures</t>
    <phoneticPr fontId="50" type="noConversion"/>
  </si>
  <si>
    <t>Column72</t>
  </si>
  <si>
    <t xml:space="preserve">Faire votre choix en mettant un X </t>
    <phoneticPr fontId="50" type="noConversion"/>
  </si>
  <si>
    <t>Calculé sur la valeur la plus haute</t>
    <phoneticPr fontId="50" type="noConversion"/>
  </si>
  <si>
    <t>modifiable limitée à 10</t>
    <phoneticPr fontId="50" type="noConversion"/>
  </si>
  <si>
    <t>1 heure</t>
    <phoneticPr fontId="50" type="noConversion"/>
  </si>
  <si>
    <t>Column95</t>
  </si>
  <si>
    <t>≤10 photos</t>
  </si>
  <si>
    <t>C00039</t>
  </si>
  <si>
    <t>Barème œuvre préexistante</t>
    <phoneticPr fontId="50" type="noConversion"/>
  </si>
  <si>
    <t>SOFAM</t>
    <phoneticPr fontId="50" type="noConversion"/>
  </si>
  <si>
    <t>petit dej</t>
    <phoneticPr fontId="50" type="noConversion"/>
  </si>
  <si>
    <t>par défaut</t>
    <phoneticPr fontId="50" type="noConversion"/>
  </si>
  <si>
    <t>(cf plan média)</t>
    <phoneticPr fontId="50" type="noConversion"/>
  </si>
  <si>
    <t>Vous pouvez ajouter h + 1/2 journée + journée, ainsi 5 heures s'écrivent 1h + 1/2 journée</t>
    <phoneticPr fontId="50" type="noConversion"/>
  </si>
  <si>
    <t>Remise éventuelle sur la journée (report direct sur le devis)</t>
    <phoneticPr fontId="45" type="noConversion"/>
  </si>
  <si>
    <t xml:space="preserve"> (3 œuvres du même auteur sur la même face)</t>
    <phoneticPr fontId="50" type="noConversion"/>
  </si>
  <si>
    <t xml:space="preserve">Ces lignes se remplissent automatiquement avec les tableaux de détails ci-dessus </t>
  </si>
  <si>
    <r>
      <t>Tranches horaires</t>
    </r>
    <r>
      <rPr>
        <i/>
        <sz val="12"/>
        <color indexed="9"/>
        <rFont val="Calibri"/>
        <family val="2"/>
      </rPr>
      <t xml:space="preserve"> </t>
    </r>
    <r>
      <rPr>
        <i/>
        <sz val="14"/>
        <color indexed="9"/>
        <rFont val="Arial"/>
        <family val="2"/>
      </rPr>
      <t>(unités de temps)</t>
    </r>
    <phoneticPr fontId="45" type="noConversion"/>
  </si>
  <si>
    <t>Pour les quantités importantes, (plus de 100) les prix doivent souvent être ajustés à la baisse, si besoin utilisez le % "grande quantité"</t>
    <phoneticPr fontId="50" type="noConversion"/>
  </si>
  <si>
    <t>x</t>
    <phoneticPr fontId="50" type="noConversion"/>
  </si>
  <si>
    <t>1 heure congés payés inclus</t>
    <phoneticPr fontId="50" type="noConversion"/>
  </si>
  <si>
    <t>Column202</t>
  </si>
  <si>
    <t>Column194</t>
  </si>
  <si>
    <t>Column195</t>
  </si>
  <si>
    <t>C00041</t>
  </si>
  <si>
    <t>Dans la case ci dessus inscrire en mois de CA, votre prévision de trésorerie</t>
    <phoneticPr fontId="45" type="noConversion"/>
  </si>
  <si>
    <t>C00033</t>
  </si>
  <si>
    <t>Column174</t>
  </si>
  <si>
    <t>Column204</t>
  </si>
  <si>
    <r>
      <t xml:space="preserve">Montant de base du pack , </t>
    </r>
    <r>
      <rPr>
        <b/>
        <sz val="16"/>
        <rFont val="Calibri"/>
        <family val="2"/>
      </rPr>
      <t>personnalisable</t>
    </r>
    <r>
      <rPr>
        <sz val="16"/>
        <rFont val="Calibri"/>
        <family val="2"/>
      </rPr>
      <t xml:space="preserve"> </t>
    </r>
  </si>
  <si>
    <t>Distance recherchée  - &gt;</t>
    <phoneticPr fontId="50" type="noConversion"/>
  </si>
  <si>
    <t>N° de contrat</t>
    <phoneticPr fontId="50" type="noConversion"/>
  </si>
  <si>
    <t>Date de la relance et du calcul :</t>
    <phoneticPr fontId="12" type="noConversion"/>
  </si>
  <si>
    <t>Column227</t>
  </si>
  <si>
    <t>taux part employeur / salaire brut</t>
    <phoneticPr fontId="50" type="noConversion"/>
  </si>
  <si>
    <t>Visibilité digitale</t>
  </si>
  <si>
    <t>Professionnel</t>
    <phoneticPr fontId="12" type="noConversion"/>
  </si>
  <si>
    <r>
      <t xml:space="preserve">Développement numérique </t>
    </r>
    <r>
      <rPr>
        <i/>
        <sz val="11"/>
        <rFont val="Arial"/>
        <family val="2"/>
      </rPr>
      <t>(dév. des Raw, calibration des courbes…)</t>
    </r>
    <phoneticPr fontId="45" type="noConversion"/>
  </si>
  <si>
    <t>C00065</t>
  </si>
  <si>
    <t>Column189</t>
  </si>
  <si>
    <t xml:space="preserve"> 1 heure </t>
    <phoneticPr fontId="45" type="noConversion"/>
  </si>
  <si>
    <t>Column199</t>
  </si>
  <si>
    <t>Remarques</t>
  </si>
  <si>
    <t>Column85</t>
  </si>
  <si>
    <t>C00035</t>
  </si>
  <si>
    <t>honoraires</t>
    <phoneticPr fontId="45" type="noConversion"/>
  </si>
  <si>
    <t>Column166</t>
  </si>
  <si>
    <t>Assistance technique</t>
    <phoneticPr fontId="50" type="noConversion"/>
  </si>
  <si>
    <t>C00010</t>
  </si>
  <si>
    <t>Régime TVA  :</t>
    <phoneticPr fontId="50" type="noConversion"/>
  </si>
  <si>
    <t>congés payés</t>
    <phoneticPr fontId="50" type="noConversion"/>
  </si>
  <si>
    <t>Column152</t>
  </si>
  <si>
    <t>Artisan - Photographe</t>
    <phoneticPr fontId="50" type="noConversion"/>
  </si>
  <si>
    <t>de 3 à 5 jourss en continu</t>
  </si>
  <si>
    <t>Détourage</t>
    <phoneticPr fontId="50" type="noConversion"/>
  </si>
  <si>
    <t>Retouche simple</t>
    <phoneticPr fontId="50" type="noConversion"/>
  </si>
  <si>
    <t>Suite au devis N°</t>
    <phoneticPr fontId="50" type="noConversion"/>
  </si>
  <si>
    <t xml:space="preserve"> 2 ans</t>
    <phoneticPr fontId="50" type="noConversion"/>
  </si>
  <si>
    <t xml:space="preserve">du : </t>
    <phoneticPr fontId="45" type="noConversion"/>
  </si>
  <si>
    <t>coeff / jr</t>
    <phoneticPr fontId="50" type="noConversion"/>
  </si>
  <si>
    <t>10 ans</t>
    <phoneticPr fontId="50" type="noConversion"/>
  </si>
  <si>
    <t>Column158</t>
  </si>
  <si>
    <t>Mettre une "x" dans la case correspondant à l'utilisation</t>
    <phoneticPr fontId="50" type="noConversion"/>
  </si>
  <si>
    <t>Indemnités kilométriques</t>
    <phoneticPr fontId="50" type="noConversion"/>
  </si>
  <si>
    <t xml:space="preserve">Pour visualiser les durées mettre un " X " dans la ou les cases qui correspondent à la durée. Quand la tâche doit être terminée mettre un " T ". </t>
    <phoneticPr fontId="50" type="noConversion"/>
  </si>
  <si>
    <t>Column211</t>
  </si>
  <si>
    <t>TOTAL HT</t>
    <phoneticPr fontId="50" type="noConversion"/>
  </si>
  <si>
    <t>FORFAITS HÉBERGEMENT</t>
    <phoneticPr fontId="50" type="noConversion"/>
  </si>
  <si>
    <t>Contrôle et préparation du matériel</t>
    <phoneticPr fontId="50" type="noConversion"/>
  </si>
  <si>
    <t>TOTAL INTERVENANTS, LOCATION &amp; FRAIS</t>
    <phoneticPr fontId="50" type="noConversion"/>
  </si>
  <si>
    <t>POST PROD.</t>
    <phoneticPr fontId="45" type="noConversion"/>
  </si>
  <si>
    <t>Column75</t>
  </si>
  <si>
    <t>Hébergement &amp; restauration</t>
    <phoneticPr fontId="50" type="noConversion"/>
  </si>
  <si>
    <t>Méthode pour calculer la valeur moyenne du prix de vente minimum d'une journée afin d'atteindre le niveau de revenu souhaité</t>
    <phoneticPr fontId="45" type="noConversion"/>
  </si>
  <si>
    <t>La lettre correspond à une tranche horaire</t>
    <phoneticPr fontId="45" type="noConversion"/>
  </si>
  <si>
    <t>C00061</t>
  </si>
  <si>
    <t>Column167</t>
  </si>
  <si>
    <t>Quantité totale</t>
    <phoneticPr fontId="50" type="noConversion"/>
  </si>
  <si>
    <t>Estimation à vérifier auprès du comptable</t>
    <phoneticPr fontId="50" type="noConversion"/>
  </si>
  <si>
    <t>PU plus de 10 pers.</t>
    <phoneticPr fontId="50" type="noConversion"/>
  </si>
  <si>
    <t>A demander au SIE</t>
    <phoneticPr fontId="50" type="noConversion"/>
  </si>
  <si>
    <t>&lt;= Ratio de majoration</t>
    <phoneticPr fontId="50" type="noConversion"/>
  </si>
  <si>
    <t>Column2</t>
  </si>
  <si>
    <t>Indiquez le montant de l'acompte payé au moment de la commande</t>
    <phoneticPr fontId="50" type="noConversion"/>
  </si>
  <si>
    <t>Column179</t>
  </si>
  <si>
    <t>Column256</t>
  </si>
  <si>
    <t>C00028</t>
  </si>
  <si>
    <t xml:space="preserve"> (Même œuvre sur plusieurs faces)</t>
    <phoneticPr fontId="50" type="noConversion"/>
  </si>
  <si>
    <t>Pour éviter tout risque de conflit avec le client, la notion de format moyen n'apparaît pas dans le devis. Elle ne sert qu'au calcul pour que ces derniers restent dans une logique de diffusion et de proportionnalité des droits. En cas d'abus l'auteur est protégé par la notion de "rémunération forfaitaire". Lorsqu'il y a cession d'affichettes et de borchures ou d'affiches de différents formats, elles sont présentées regroupées sur le deivs.</t>
    <phoneticPr fontId="50" type="noConversion"/>
  </si>
  <si>
    <t>C00091</t>
  </si>
  <si>
    <t>selon la loi première tranche 0 à 200 000</t>
    <phoneticPr fontId="50" type="noConversion"/>
  </si>
  <si>
    <t>Column74</t>
  </si>
  <si>
    <t>Le seul paiement des frais de production n'entraîne également aucune cession des droits d'exploitaion</t>
    <phoneticPr fontId="50" type="noConversion"/>
  </si>
  <si>
    <t>…</t>
  </si>
  <si>
    <t xml:space="preserve"> pour 20 secondes</t>
    <phoneticPr fontId="50" type="noConversion"/>
  </si>
  <si>
    <t>DROIT DE REPRODUCTION</t>
    <phoneticPr fontId="50" type="noConversion"/>
  </si>
  <si>
    <t>INTERVENANTS</t>
    <phoneticPr fontId="50" type="noConversion"/>
  </si>
  <si>
    <t>Calculateur "web" developpé par Matthieu Suprin © et complété pour la video par © David Grimardias</t>
    <phoneticPr fontId="50" type="noConversion"/>
  </si>
  <si>
    <t>2ème semestre 2019</t>
    <phoneticPr fontId="12" type="noConversion"/>
  </si>
  <si>
    <t>intérêts dus au prorata du temps écoulé</t>
  </si>
  <si>
    <t>CP et Ville</t>
    <phoneticPr fontId="50" type="noConversion"/>
  </si>
  <si>
    <t>coeff</t>
    <phoneticPr fontId="50" type="noConversion"/>
  </si>
  <si>
    <t>C00057</t>
  </si>
  <si>
    <t>Column93</t>
  </si>
  <si>
    <t>Column241</t>
  </si>
  <si>
    <t>Column53</t>
  </si>
  <si>
    <t>Column66</t>
  </si>
  <si>
    <t>Développement et contrôle des fichiers</t>
    <phoneticPr fontId="50" type="noConversion"/>
  </si>
  <si>
    <t>Column101</t>
  </si>
  <si>
    <t>voir base client</t>
    <phoneticPr fontId="50" type="noConversion"/>
  </si>
  <si>
    <t>C00027</t>
  </si>
  <si>
    <t>FRAIS DE VEHICULE - FACTURATION AU KM</t>
    <phoneticPr fontId="50" type="noConversion"/>
  </si>
  <si>
    <t>Ne s'active que pour les journées</t>
  </si>
  <si>
    <t>Column89</t>
  </si>
  <si>
    <t>Column118</t>
  </si>
  <si>
    <t>• Transmission et fourniture des fichiers :</t>
    <phoneticPr fontId="50" type="noConversion"/>
  </si>
  <si>
    <t>Column212</t>
  </si>
  <si>
    <t>Total remisé</t>
    <phoneticPr fontId="50" type="noConversion"/>
  </si>
  <si>
    <t>C00099</t>
  </si>
  <si>
    <t>Column43</t>
  </si>
  <si>
    <t>≤ 100.000 visites</t>
    <phoneticPr fontId="50" type="noConversion"/>
  </si>
  <si>
    <t xml:space="preserve"> PRISES DE VUE ET PRÉPARATION</t>
    <phoneticPr fontId="45" type="noConversion"/>
  </si>
  <si>
    <t xml:space="preserve">Facturation du travel day / temps de déplacament </t>
    <phoneticPr fontId="45" type="noConversion"/>
  </si>
  <si>
    <t>C00052</t>
  </si>
  <si>
    <t>1 mois</t>
  </si>
  <si>
    <t xml:space="preserve">2 semaines </t>
  </si>
  <si>
    <t>Column78</t>
  </si>
  <si>
    <t>Column79</t>
  </si>
  <si>
    <t>C00017</t>
  </si>
  <si>
    <t>en sus du coût de fabrication</t>
    <phoneticPr fontId="50" type="noConversion"/>
  </si>
  <si>
    <t xml:space="preserve"> </t>
    <phoneticPr fontId="50" type="noConversion"/>
  </si>
  <si>
    <t>Organisme assureur</t>
    <phoneticPr fontId="50" type="noConversion"/>
  </si>
  <si>
    <t>non</t>
    <phoneticPr fontId="50" type="noConversion"/>
  </si>
  <si>
    <t>nbr empl x nbr  jr</t>
    <phoneticPr fontId="50" type="noConversion"/>
  </si>
  <si>
    <t>Base clients</t>
  </si>
  <si>
    <t>Column210</t>
  </si>
  <si>
    <t>Column231</t>
  </si>
  <si>
    <t>Column160</t>
  </si>
  <si>
    <t>MANNEQUIN ADULTES - PRESSE REDACTIONNELLE</t>
    <phoneticPr fontId="50" type="noConversion"/>
  </si>
  <si>
    <t>C00083</t>
  </si>
  <si>
    <t>Durée d'utilisation des droits</t>
  </si>
  <si>
    <t>C00015</t>
  </si>
  <si>
    <t>Débiteur (qui doit)</t>
    <phoneticPr fontId="12" type="noConversion"/>
  </si>
  <si>
    <t>Barème voiture</t>
    <phoneticPr fontId="45" type="noConversion"/>
  </si>
  <si>
    <t>C00034</t>
  </si>
  <si>
    <t>Column38</t>
  </si>
  <si>
    <t>Code Tarif</t>
    <phoneticPr fontId="50" type="noConversion"/>
  </si>
  <si>
    <t>Nb videos commandées</t>
    <phoneticPr fontId="50" type="noConversion"/>
  </si>
  <si>
    <t>Pour les artisans</t>
    <phoneticPr fontId="50" type="noConversion"/>
  </si>
  <si>
    <t>Code tarif</t>
    <phoneticPr fontId="50" type="noConversion"/>
  </si>
  <si>
    <t>C00100</t>
  </si>
  <si>
    <t>E-mail</t>
  </si>
  <si>
    <t>ADAGP</t>
    <phoneticPr fontId="50" type="noConversion"/>
  </si>
  <si>
    <t>SAIF</t>
    <phoneticPr fontId="50" type="noConversion"/>
  </si>
  <si>
    <t>≤</t>
  </si>
  <si>
    <t>cellules automatisées</t>
    <phoneticPr fontId="50" type="noConversion"/>
  </si>
  <si>
    <t xml:space="preserve">Critères modérateurs </t>
    <phoneticPr fontId="50" type="noConversion"/>
  </si>
  <si>
    <t>.</t>
    <phoneticPr fontId="50" type="noConversion"/>
  </si>
  <si>
    <r>
      <t xml:space="preserve"> Forfait 1/2 j</t>
    </r>
    <r>
      <rPr>
        <b/>
        <vertAlign val="superscript"/>
        <sz val="16"/>
        <color indexed="8"/>
        <rFont val="Calibri"/>
        <family val="2"/>
      </rPr>
      <t>ée</t>
    </r>
    <r>
      <rPr>
        <b/>
        <sz val="16"/>
        <color indexed="8"/>
        <rFont val="Calibri"/>
        <family val="2"/>
      </rPr>
      <t xml:space="preserve"> (4h)</t>
    </r>
    <phoneticPr fontId="45" type="noConversion"/>
  </si>
  <si>
    <r>
      <t xml:space="preserve">Prises de vue de portraits "corporate" dans les locaux du client </t>
    </r>
    <r>
      <rPr>
        <i/>
        <sz val="18"/>
        <color indexed="9"/>
        <rFont val="Arial"/>
        <family val="2"/>
      </rPr>
      <t>(frais de déplacement en sus)</t>
    </r>
    <phoneticPr fontId="50" type="noConversion"/>
  </si>
  <si>
    <t>valeur du point en euros</t>
    <phoneticPr fontId="50" type="noConversion"/>
  </si>
  <si>
    <t>ETUDE POUR CALCUL DROIT PACKAGING, ETIQUETTES, CHEQUIERS, ETC (grandes quantités)</t>
    <phoneticPr fontId="50" type="noConversion"/>
  </si>
  <si>
    <t>Microentrepreneur Libéral</t>
  </si>
  <si>
    <t>Column228</t>
  </si>
  <si>
    <t>repas soir</t>
    <phoneticPr fontId="50" type="noConversion"/>
  </si>
  <si>
    <t>Column146</t>
  </si>
  <si>
    <t>Sélection des photos</t>
    <phoneticPr fontId="50" type="noConversion"/>
  </si>
  <si>
    <t>Quantité en jour</t>
    <phoneticPr fontId="50" type="noConversion"/>
  </si>
  <si>
    <t>Remplir manuellement dans le cas des frais réèls, se remplit automatiquement en cas d'option Forfaitaire</t>
    <phoneticPr fontId="50" type="noConversion"/>
  </si>
  <si>
    <t>Column129</t>
  </si>
  <si>
    <t>Téléphone</t>
  </si>
  <si>
    <t>Portable</t>
  </si>
  <si>
    <t>Column9</t>
  </si>
  <si>
    <t>Column10</t>
  </si>
  <si>
    <t>C00064</t>
  </si>
  <si>
    <t>Retouche beauté</t>
    <phoneticPr fontId="50" type="noConversion"/>
  </si>
  <si>
    <t>Column235</t>
  </si>
  <si>
    <t>….</t>
    <phoneticPr fontId="50" type="noConversion"/>
  </si>
  <si>
    <t>L'adhésion à une AGA évite la majoration de 25 % des BNC pour le calcul de l'impôt sur le revenu.</t>
    <phoneticPr fontId="50" type="noConversion"/>
  </si>
  <si>
    <r>
      <t xml:space="preserve">Indiquez le </t>
    </r>
    <r>
      <rPr>
        <b/>
        <sz val="16"/>
        <color indexed="9"/>
        <rFont val="Arial"/>
        <family val="2"/>
      </rPr>
      <t xml:space="preserve">NOMBRE DE PHOTO </t>
    </r>
    <r>
      <rPr>
        <b/>
        <i/>
        <sz val="16"/>
        <color indexed="9"/>
        <rFont val="Arial"/>
        <family val="2"/>
      </rPr>
      <t>dans la case ci-contre</t>
    </r>
    <phoneticPr fontId="50" type="noConversion"/>
  </si>
  <si>
    <t xml:space="preserve"> ≤ 10 ans</t>
    <phoneticPr fontId="50" type="noConversion"/>
  </si>
  <si>
    <t>Column61</t>
  </si>
  <si>
    <t>8 heures</t>
    <phoneticPr fontId="50" type="noConversion"/>
  </si>
  <si>
    <t>Column110</t>
  </si>
  <si>
    <t>Column105</t>
  </si>
  <si>
    <t>Column109</t>
  </si>
  <si>
    <t>06 80 85 81 08</t>
    <phoneticPr fontId="50" type="noConversion"/>
  </si>
  <si>
    <t>RC Professionnelle</t>
    <phoneticPr fontId="50" type="noConversion"/>
  </si>
  <si>
    <t>Quantité totale</t>
    <phoneticPr fontId="50" type="noConversion"/>
  </si>
  <si>
    <t>Column16</t>
  </si>
  <si>
    <t>+ de 10 jours en continu</t>
  </si>
  <si>
    <t>Frais restant toujours à la charge du client et en sus de la rémunération du photographe: Transport et hébergement des biens et des personnes, rémunérations des modéles et intervenants extérieurs.</t>
    <phoneticPr fontId="50" type="noConversion"/>
  </si>
  <si>
    <t>C00014</t>
  </si>
  <si>
    <t>Salaires bruts</t>
    <phoneticPr fontId="50" type="noConversion"/>
  </si>
  <si>
    <t xml:space="preserve">remisés de </t>
    <phoneticPr fontId="50" type="noConversion"/>
  </si>
  <si>
    <t>Column128</t>
  </si>
  <si>
    <t>Column248</t>
  </si>
  <si>
    <t>Column18</t>
  </si>
  <si>
    <t>Column76</t>
  </si>
  <si>
    <t>un jour</t>
  </si>
  <si>
    <t>Si vous souhaitez donnez un prix moyen à la PDV, renseignez cette colonne</t>
    <phoneticPr fontId="45" type="noConversion"/>
  </si>
  <si>
    <t>Barème moto</t>
  </si>
  <si>
    <t>≤ 5 ans</t>
    <phoneticPr fontId="50" type="noConversion"/>
  </si>
  <si>
    <t>Column29</t>
  </si>
  <si>
    <t>25 rue pas-toucher</t>
    <phoneticPr fontId="50" type="noConversion"/>
  </si>
  <si>
    <t>Le "coefficient de créativité" est un coefficient qui est à ajuster en fonction du degré de qualification, ou de personnalisation que vous pensez apporter à la prestation. Le coefficient de base étant 100% de la valeur journalière de référence. Toute prestation sur laquelle vous êtes potentiellement remplacable est inférieur à 100% et plus une prestation est attachée à votre personnalité ou savoir faire et plus le coefficient augmente jusqu'à 200 ou 300%</t>
    <phoneticPr fontId="50" type="noConversion"/>
  </si>
  <si>
    <t>Montant de la facture que l'on vous doit :</t>
    <phoneticPr fontId="12" type="noConversion"/>
  </si>
  <si>
    <t>Nbr d'heures</t>
  </si>
  <si>
    <t>Mettre une croix pour supprimer le développemt numérique</t>
  </si>
  <si>
    <t>Column125</t>
  </si>
  <si>
    <t xml:space="preserve"> (Image figurant sur le quart du support)</t>
    <phoneticPr fontId="50" type="noConversion"/>
  </si>
  <si>
    <t>FR00 000 000 000</t>
    <phoneticPr fontId="50" type="noConversion"/>
  </si>
  <si>
    <t>PLV - Publicité sur le lieu de vente</t>
    <phoneticPr fontId="50" type="noConversion"/>
  </si>
  <si>
    <t>Catalogues, brochures et imprimés divers</t>
    <phoneticPr fontId="50" type="noConversion"/>
  </si>
  <si>
    <t>C00031</t>
  </si>
  <si>
    <t>C00004</t>
  </si>
  <si>
    <t>%</t>
    <phoneticPr fontId="50" type="noConversion"/>
  </si>
  <si>
    <t>en mètres</t>
    <phoneticPr fontId="50" type="noConversion"/>
  </si>
  <si>
    <t>En utilisant ce tableau vous pouvez visualiser en parallèle les différentes tâches à accomplir.</t>
    <phoneticPr fontId="50" type="noConversion"/>
  </si>
  <si>
    <t>FR84 888 888 888 0080</t>
    <phoneticPr fontId="50" type="noConversion"/>
  </si>
  <si>
    <t>Column161</t>
  </si>
  <si>
    <r>
      <t xml:space="preserve">ÉVALUATION FRAIS KM </t>
    </r>
    <r>
      <rPr>
        <sz val="16"/>
        <color indexed="9"/>
        <rFont val="Arial"/>
        <family val="2"/>
      </rPr>
      <t>en incluant un ratio pour compenser le temps passé</t>
    </r>
    <phoneticPr fontId="50" type="noConversion"/>
  </si>
  <si>
    <t>Calcul moyen du coût du studio en fonction de la superficie et de la durée</t>
    <phoneticPr fontId="50" type="noConversion"/>
  </si>
  <si>
    <t>(2)</t>
    <phoneticPr fontId="50" type="noConversion"/>
  </si>
  <si>
    <t>EXEMPLE DE BASE</t>
    <phoneticPr fontId="50" type="noConversion"/>
  </si>
  <si>
    <t>C00075</t>
  </si>
  <si>
    <t>C00076</t>
  </si>
  <si>
    <t>Column32</t>
  </si>
  <si>
    <t>Column178</t>
  </si>
  <si>
    <t>Column90</t>
  </si>
  <si>
    <t>Pour la 5ème année</t>
    <phoneticPr fontId="50" type="noConversion"/>
  </si>
  <si>
    <t>Column111</t>
  </si>
  <si>
    <t>PERTE</t>
  </si>
  <si>
    <t>TOTAUX</t>
    <phoneticPr fontId="50" type="noConversion"/>
  </si>
  <si>
    <t>part diffuseur</t>
    <phoneticPr fontId="45" type="noConversion"/>
  </si>
  <si>
    <t>Focale requise</t>
    <phoneticPr fontId="50" type="noConversion"/>
  </si>
  <si>
    <t>Frais fixes minimum légaux</t>
    <phoneticPr fontId="12" type="noConversion"/>
  </si>
  <si>
    <t>largeur x longueur</t>
    <phoneticPr fontId="50" type="noConversion"/>
  </si>
  <si>
    <t>Column173</t>
  </si>
  <si>
    <t>000 000 000 00000</t>
    <phoneticPr fontId="50" type="noConversion"/>
  </si>
  <si>
    <t>Column203</t>
  </si>
  <si>
    <t>[ x ou t ]</t>
    <phoneticPr fontId="50" type="noConversion"/>
  </si>
  <si>
    <t xml:space="preserve">Libéllés des tranches horaires </t>
    <phoneticPr fontId="45" type="noConversion"/>
  </si>
  <si>
    <t>Bloc de temps</t>
    <phoneticPr fontId="50" type="noConversion"/>
  </si>
  <si>
    <t>C00093</t>
  </si>
  <si>
    <t>repas midi</t>
    <phoneticPr fontId="50" type="noConversion"/>
  </si>
  <si>
    <t>C00048</t>
  </si>
  <si>
    <t>Avec cotisations patronales</t>
    <phoneticPr fontId="50" type="noConversion"/>
  </si>
  <si>
    <t>jour [J] ou semaine [S] =&gt;</t>
    <phoneticPr fontId="50" type="noConversion"/>
  </si>
  <si>
    <t>LOCATION &amp; FRAIS</t>
    <phoneticPr fontId="50" type="noConversion"/>
  </si>
  <si>
    <t>C00013</t>
  </si>
  <si>
    <t>D</t>
    <phoneticPr fontId="50" type="noConversion"/>
  </si>
  <si>
    <t>C00049</t>
  </si>
  <si>
    <t>Toute contestation sur les photographies livrées devra faire l'objet d'une confirmation écrite et argumentée dans les 48 h suivant la livraison. Les critères esthétiques, de composition ne peuvent être admis comme motifs de réclamation et ne pourront pas motiver le refus des travaux. En cas de présence du client ou de son représentant lors des prises de vue ou de validation continue par envoi dématérialisé des fichiers, aucun motif de refus ne pourra être retenu.</t>
    <phoneticPr fontId="50" type="noConversion"/>
  </si>
  <si>
    <t xml:space="preserve">Quantité </t>
    <phoneticPr fontId="50" type="noConversion"/>
  </si>
  <si>
    <t>Préconisé le taux de la BCE majoré de 10%</t>
    <phoneticPr fontId="12" type="noConversion"/>
  </si>
  <si>
    <t>Choisir le % qui vous paraît le plus adapté à votre façon de travailler</t>
    <phoneticPr fontId="45" type="noConversion"/>
  </si>
  <si>
    <t>Somme totale avec frais</t>
  </si>
  <si>
    <t>Frais fixes minimum légaux</t>
  </si>
  <si>
    <t>Column147</t>
  </si>
  <si>
    <t>Column169</t>
  </si>
  <si>
    <t xml:space="preserve">Basé sur un taux libre </t>
    <phoneticPr fontId="12" type="noConversion"/>
  </si>
  <si>
    <t>sur la base du BOI 2018</t>
    <phoneticPr fontId="50" type="noConversion"/>
  </si>
  <si>
    <t>détail</t>
    <phoneticPr fontId="50" type="noConversion"/>
  </si>
  <si>
    <t>&gt; 10 ans</t>
    <phoneticPr fontId="50" type="noConversion"/>
  </si>
  <si>
    <t>RAISON SOCIALE</t>
    <phoneticPr fontId="50" type="noConversion"/>
  </si>
  <si>
    <t>Date de son échéance initiale :</t>
    <phoneticPr fontId="12" type="noConversion"/>
  </si>
  <si>
    <t>C00002</t>
  </si>
  <si>
    <t>Column214</t>
  </si>
  <si>
    <t>Total de la prestation</t>
    <phoneticPr fontId="45" type="noConversion"/>
  </si>
  <si>
    <t>nbr/empl.</t>
    <phoneticPr fontId="50" type="noConversion"/>
  </si>
  <si>
    <t>Column67</t>
  </si>
  <si>
    <t>nbr/jr</t>
    <phoneticPr fontId="50" type="noConversion"/>
  </si>
  <si>
    <t>Column177</t>
  </si>
  <si>
    <t>Inversement vous connaissez la taille de votre espace de prises de vue mais vous souhaitez connaître l'optique nécessaire :</t>
    <phoneticPr fontId="50" type="noConversion"/>
  </si>
  <si>
    <t>Pour les virements</t>
    <phoneticPr fontId="50" type="noConversion"/>
  </si>
  <si>
    <r>
      <t xml:space="preserve">QUANTITÉ </t>
    </r>
    <r>
      <rPr>
        <sz val="14"/>
        <color indexed="9"/>
        <rFont val="Calibri"/>
        <family val="2"/>
      </rPr>
      <t>unités de temps</t>
    </r>
    <phoneticPr fontId="45" type="noConversion"/>
  </si>
  <si>
    <t>Vous pouvez changer les valeurs en jaunes foncés si vous le souhaitez. Par principe il n'est pas possible d'offrir ces droits au client.</t>
    <phoneticPr fontId="50" type="noConversion"/>
  </si>
  <si>
    <t>TOTAL</t>
    <phoneticPr fontId="50" type="noConversion"/>
  </si>
  <si>
    <t>Column27</t>
  </si>
  <si>
    <t>pdv de 4 objets avec mise en lumière</t>
    <phoneticPr fontId="50" type="noConversion"/>
  </si>
  <si>
    <t>delamarre.gpla@gmail.com</t>
  </si>
  <si>
    <t>Column121</t>
  </si>
  <si>
    <t>Column253</t>
  </si>
  <si>
    <t>Column254</t>
  </si>
  <si>
    <t>C00073</t>
  </si>
  <si>
    <t>C00074</t>
  </si>
  <si>
    <t xml:space="preserve">Cette partie vous propose de donner un prix moyen en fonction d'un nombre de prises de vue </t>
    <phoneticPr fontId="45" type="noConversion"/>
  </si>
  <si>
    <t>% pour modifier le prix de journée en fonction de la difficulté, de la créativité</t>
    <phoneticPr fontId="45" type="noConversion"/>
  </si>
  <si>
    <t>Column134</t>
  </si>
  <si>
    <t>C00053</t>
  </si>
  <si>
    <t>E</t>
    <phoneticPr fontId="50" type="noConversion"/>
  </si>
  <si>
    <t>888 888 888 00080</t>
    <phoneticPr fontId="50" type="noConversion"/>
  </si>
  <si>
    <t>Column122</t>
  </si>
  <si>
    <t>Total du poste prises de vue</t>
    <phoneticPr fontId="45" type="noConversion"/>
  </si>
  <si>
    <t>Column35</t>
  </si>
  <si>
    <r>
      <t>Évaluation sur la base du barème fiscal, qui tient compte du carburant, de l'entretien courant et de la dépréciation du véhicule et des frais d'assurance.</t>
    </r>
    <r>
      <rPr>
        <i/>
        <sz val="15"/>
        <color indexed="8"/>
        <rFont val="Arial"/>
        <family val="2"/>
      </rPr>
      <t xml:space="preserve"> (Les frais de péage, parking et autres ne sont pas inclus dans ce forfait et doivent être évalués et facturés dans un autre cadre de cet onglet)</t>
    </r>
    <phoneticPr fontId="50" type="noConversion"/>
  </si>
  <si>
    <t>Prix moyen / photo livrée</t>
    <phoneticPr fontId="50" type="noConversion"/>
  </si>
  <si>
    <t>Code tarif</t>
    <phoneticPr fontId="50" type="noConversion"/>
  </si>
  <si>
    <t>Ref/client (Cde/Devis) :</t>
    <phoneticPr fontId="45" type="noConversion"/>
  </si>
  <si>
    <t>• Remboursement des frais :</t>
  </si>
  <si>
    <t>Train</t>
    <phoneticPr fontId="50" type="noConversion"/>
  </si>
  <si>
    <t>Avion et Bagages</t>
    <phoneticPr fontId="50" type="noConversion"/>
  </si>
  <si>
    <t>Column175</t>
  </si>
  <si>
    <t>Column127</t>
  </si>
  <si>
    <t>Mettre une croix sous le nombre de visite du site  pour lequel vous cédez les droits</t>
    <phoneticPr fontId="50" type="noConversion"/>
  </si>
  <si>
    <t>Facturation</t>
    <phoneticPr fontId="50" type="noConversion"/>
  </si>
  <si>
    <t>C00069</t>
  </si>
  <si>
    <t>C00070</t>
  </si>
  <si>
    <t>Column196</t>
  </si>
  <si>
    <t>Column57</t>
  </si>
  <si>
    <t>Column58</t>
  </si>
  <si>
    <t>MANNEQUINS ADULTES - PUBLICITE ET DEFILE</t>
    <phoneticPr fontId="50" type="noConversion"/>
  </si>
  <si>
    <t xml:space="preserve">En général les prestations des intervenants s'évaluent et se facturent à la journée, c'est pourquoi le prix de base est celui de la journée. Pour les durées inférieures, il suffit d'appliquer les coefficients indiquer en référence au dessus. </t>
    <phoneticPr fontId="50" type="noConversion"/>
  </si>
  <si>
    <t>Quantité</t>
    <phoneticPr fontId="50" type="noConversion"/>
  </si>
  <si>
    <t>Siret</t>
    <phoneticPr fontId="50" type="noConversion"/>
  </si>
  <si>
    <t>renseigner</t>
    <phoneticPr fontId="45" type="noConversion"/>
  </si>
  <si>
    <t>C00094</t>
  </si>
  <si>
    <t>(détails frais)</t>
    <phoneticPr fontId="50" type="noConversion"/>
  </si>
  <si>
    <t>Column84</t>
  </si>
  <si>
    <t>C00023</t>
  </si>
  <si>
    <t>Column226</t>
  </si>
  <si>
    <t>≤ 500.000 visites</t>
    <phoneticPr fontId="50" type="noConversion"/>
  </si>
  <si>
    <t>Mail</t>
    <phoneticPr fontId="50" type="noConversion"/>
  </si>
  <si>
    <t>Column39</t>
  </si>
  <si>
    <t>Column40</t>
  </si>
  <si>
    <t>taux part salariale / salaire brut</t>
    <phoneticPr fontId="50" type="noConversion"/>
  </si>
  <si>
    <t>Column184</t>
  </si>
  <si>
    <t>Taux d'interêt de retard pour les créances dues aux professionnels  :</t>
    <phoneticPr fontId="12" type="noConversion"/>
  </si>
  <si>
    <t xml:space="preserve">Hebdo 5 jours </t>
    <phoneticPr fontId="50" type="noConversion"/>
  </si>
  <si>
    <t>Case liée à l'onglet liste frais (2)</t>
    <phoneticPr fontId="50" type="noConversion"/>
  </si>
  <si>
    <t xml:space="preserve"> journée (7h)</t>
    <phoneticPr fontId="45" type="noConversion"/>
  </si>
  <si>
    <t>Column49</t>
  </si>
  <si>
    <t>Column50</t>
  </si>
  <si>
    <t>Montant de base du pack</t>
  </si>
  <si>
    <t>Renseigner</t>
    <phoneticPr fontId="45" type="noConversion"/>
  </si>
  <si>
    <t>Intérêt dus pour une année compête</t>
    <phoneticPr fontId="12" type="noConversion"/>
  </si>
  <si>
    <t>L'unité de temps s'affiche de façon automatique lors du report de la lettre code de durée</t>
    <phoneticPr fontId="45" type="noConversion"/>
  </si>
  <si>
    <t>C00079</t>
  </si>
  <si>
    <t>Taxi</t>
    <phoneticPr fontId="50" type="noConversion"/>
  </si>
  <si>
    <t>N°siret :</t>
  </si>
  <si>
    <t xml:space="preserve">Il est conseillé de demander un acompte au moins égal au montant des frais avancés </t>
    <phoneticPr fontId="50" type="noConversion"/>
  </si>
  <si>
    <t>Facturation pour :</t>
    <phoneticPr fontId="45" type="noConversion"/>
  </si>
  <si>
    <t>Adresse</t>
  </si>
  <si>
    <t>La mention indiquant le coût unitaire moyen à la pdv apparait sur le devis à titre d'information mais peut y être effacée sans effet sur le reste des indications</t>
  </si>
  <si>
    <t>C00018</t>
  </si>
  <si>
    <t>Column168</t>
  </si>
  <si>
    <t>Column22</t>
  </si>
  <si>
    <t>Mettre une croix sous la durée de cession souhaitée</t>
    <phoneticPr fontId="50" type="noConversion"/>
  </si>
  <si>
    <t xml:space="preserve">Vous aurez besoin d'un studio aux dimensions  approximatives de : </t>
    <phoneticPr fontId="50" type="noConversion"/>
  </si>
  <si>
    <t>PRÉPARATION et CONCEPTION</t>
    <phoneticPr fontId="50" type="noConversion"/>
  </si>
  <si>
    <t>≤ 1.000.000 visites</t>
    <phoneticPr fontId="50" type="noConversion"/>
  </si>
  <si>
    <t>Column82</t>
  </si>
  <si>
    <t>C00081</t>
  </si>
  <si>
    <t>Column106</t>
  </si>
  <si>
    <t>Column162</t>
  </si>
  <si>
    <t>Column96</t>
  </si>
  <si>
    <t>Column54</t>
  </si>
  <si>
    <t>….</t>
    <phoneticPr fontId="50" type="noConversion"/>
  </si>
  <si>
    <t>Prises de vue produits de base</t>
    <phoneticPr fontId="50" type="noConversion"/>
  </si>
  <si>
    <r>
      <t xml:space="preserve">Délai de règlement </t>
    </r>
    <r>
      <rPr>
        <i/>
        <sz val="11"/>
        <rFont val="Arial"/>
        <family val="2"/>
      </rPr>
      <t>(30 jours est le délai moyen pratiqué)</t>
    </r>
    <phoneticPr fontId="45" type="noConversion"/>
  </si>
  <si>
    <t>Vous êtes membre d'une AGA</t>
    <phoneticPr fontId="45" type="noConversion"/>
  </si>
  <si>
    <t>Column46</t>
  </si>
  <si>
    <t>Column42</t>
  </si>
  <si>
    <t>Column156</t>
  </si>
  <si>
    <t>Libellé de l'unité de temps auquel est ajouté le mot "forfait" pour éviter les contestations liée à une durée précise.</t>
    <phoneticPr fontId="45" type="noConversion"/>
  </si>
  <si>
    <t>Coefficient appliqué sur le montant brut des droits pondéré de la durée d'utilisation</t>
    <phoneticPr fontId="50" type="noConversion"/>
  </si>
  <si>
    <t>Column216</t>
  </si>
  <si>
    <t>Date de début du projet</t>
    <phoneticPr fontId="50" type="noConversion"/>
  </si>
  <si>
    <t>soit un total de</t>
    <phoneticPr fontId="50" type="noConversion"/>
  </si>
  <si>
    <t>Suppléments</t>
    <phoneticPr fontId="50" type="noConversion"/>
  </si>
  <si>
    <t>Frais fixes / an</t>
    <phoneticPr fontId="50" type="noConversion"/>
  </si>
  <si>
    <t>Fond de roulement / an</t>
    <phoneticPr fontId="50" type="noConversion"/>
  </si>
  <si>
    <t>Mettre un "X" si œuvre de commande</t>
    <phoneticPr fontId="50" type="noConversion"/>
  </si>
  <si>
    <t xml:space="preserve"> (Image figurant sur la moitié du support)</t>
    <phoneticPr fontId="50" type="noConversion"/>
  </si>
  <si>
    <t>TEMPS DE TRAJET</t>
    <phoneticPr fontId="45" type="noConversion"/>
  </si>
  <si>
    <t>Column244</t>
  </si>
  <si>
    <r>
      <t xml:space="preserve"> </t>
    </r>
    <r>
      <rPr>
        <b/>
        <sz val="16"/>
        <color indexed="9"/>
        <rFont val="Arial"/>
        <family val="2"/>
      </rPr>
      <t>NE PAS TOUCHER AUX CASES GRISES FONCÉES, elles sont automatisées.</t>
    </r>
    <phoneticPr fontId="45" type="noConversion"/>
  </si>
  <si>
    <t>B</t>
    <phoneticPr fontId="45" type="noConversion"/>
  </si>
  <si>
    <t xml:space="preserve">date de calcul des intérêt </t>
    <phoneticPr fontId="12" type="noConversion"/>
  </si>
  <si>
    <t>Pour les auteurs</t>
    <phoneticPr fontId="50" type="noConversion"/>
  </si>
  <si>
    <t>% minimum de majoration du taux d'intérêt légal</t>
    <phoneticPr fontId="12" type="noConversion"/>
  </si>
  <si>
    <t>PU de 5 à 10  pers.</t>
    <phoneticPr fontId="50" type="noConversion"/>
  </si>
  <si>
    <t>C00077</t>
  </si>
  <si>
    <t>x</t>
    <phoneticPr fontId="45" type="noConversion"/>
  </si>
  <si>
    <t>% des droits</t>
    <phoneticPr fontId="50" type="noConversion"/>
  </si>
  <si>
    <t>Info de calcul pour les heures décimales à utiliser en post-prod et trajet</t>
    <phoneticPr fontId="45" type="noConversion"/>
  </si>
  <si>
    <t>DETAIL DES FRAIS (annexe)</t>
    <phoneticPr fontId="50" type="noConversion"/>
  </si>
  <si>
    <t>C00086</t>
  </si>
  <si>
    <t xml:space="preserve">Cocher (x) ---&gt; </t>
  </si>
  <si>
    <t>Les droits cédés forfaitairement ne peuvent avoir qu'une portée limitée. Les droits annonces presses et affichages sont évalués sur la base du barème (paru au Journal Officiel) des oeuvres de commande en publicité. Sont exclus également toutes utilisations sur objets publicitaires ou autres. Aucune cession ne peut être implicite, en cas de doute contacter l'auteur. Selon la législation il appartient au diffuseur de vérifier qu'il détient bien les droits de diffusion sur les photographies qu'il utilise dans le cadre professionnel.</t>
    <phoneticPr fontId="50" type="noConversion"/>
  </si>
  <si>
    <t>Column56</t>
  </si>
  <si>
    <t>Avec cotisations patronales</t>
    <phoneticPr fontId="50" type="noConversion"/>
  </si>
  <si>
    <t>Column181</t>
  </si>
  <si>
    <t>Auteur - Photographe</t>
    <phoneticPr fontId="50" type="noConversion"/>
  </si>
  <si>
    <t>(1)</t>
    <phoneticPr fontId="50" type="noConversion"/>
  </si>
  <si>
    <t xml:space="preserve">Nombre de </t>
  </si>
  <si>
    <t>Column123</t>
  </si>
  <si>
    <t xml:space="preserve">Taux directeur de la BCE </t>
    <phoneticPr fontId="12" type="noConversion"/>
  </si>
  <si>
    <t>Column151</t>
  </si>
  <si>
    <t>coeff</t>
    <phoneticPr fontId="50" type="noConversion"/>
  </si>
  <si>
    <t>Ville</t>
  </si>
  <si>
    <t xml:space="preserve">Prises de vue de composition </t>
    <phoneticPr fontId="50" type="noConversion"/>
  </si>
  <si>
    <t>HT vers TTC</t>
    <phoneticPr fontId="50" type="noConversion"/>
  </si>
  <si>
    <r>
      <t xml:space="preserve">Paiement direct des </t>
    </r>
    <r>
      <rPr>
        <b/>
        <i/>
        <sz val="10"/>
        <color indexed="9"/>
        <rFont val="Arial"/>
        <family val="2"/>
      </rPr>
      <t xml:space="preserve">HONORAIRES ET FRAIS DES INTERVENANTS </t>
    </r>
    <r>
      <rPr>
        <i/>
        <sz val="10"/>
        <color indexed="9"/>
        <rFont val="Arial"/>
        <family val="2"/>
      </rPr>
      <t>par le client</t>
    </r>
    <phoneticPr fontId="50" type="noConversion"/>
  </si>
  <si>
    <t>Chaque utilisation non prévue au présent contrat devra faire l’objet d’une nouvelle cession, étant entendu qu'une cession tout droit est illicite.</t>
    <phoneticPr fontId="50" type="noConversion"/>
  </si>
  <si>
    <t>C00058</t>
  </si>
  <si>
    <t>Date</t>
    <phoneticPr fontId="45"/>
  </si>
  <si>
    <r>
      <t>66</t>
    </r>
    <r>
      <rPr>
        <i/>
        <sz val="12"/>
        <color indexed="8"/>
        <rFont val="Calibri"/>
        <family val="2"/>
      </rPr>
      <t xml:space="preserve"> personnalisable</t>
    </r>
    <r>
      <rPr>
        <i/>
        <sz val="12"/>
        <color indexed="8"/>
        <rFont val="Wingdings 3"/>
        <charset val="2"/>
      </rPr>
      <t>66</t>
    </r>
    <phoneticPr fontId="50" type="noConversion"/>
  </si>
  <si>
    <t>Avec commission agence</t>
    <phoneticPr fontId="50" type="noConversion"/>
  </si>
  <si>
    <t>Décompter</t>
    <phoneticPr fontId="50" type="noConversion"/>
  </si>
  <si>
    <t>Case liée à longlet location studio</t>
    <phoneticPr fontId="50" type="noConversion"/>
  </si>
  <si>
    <t>de 6 à 10 jours en continu</t>
  </si>
  <si>
    <t>TOTAL</t>
    <phoneticPr fontId="50" type="noConversion"/>
  </si>
  <si>
    <t xml:space="preserve">Échéance indiquée sur la facture comme date limite de paiement </t>
    <phoneticPr fontId="12" type="noConversion"/>
  </si>
  <si>
    <t>Seuill de rentabilité / jour &gt;</t>
    <phoneticPr fontId="50" type="noConversion"/>
  </si>
  <si>
    <t>Column23</t>
  </si>
  <si>
    <t>Column149</t>
  </si>
  <si>
    <t xml:space="preserve">affiché en fraction </t>
    <phoneticPr fontId="50" type="noConversion"/>
  </si>
  <si>
    <t>Remplir</t>
    <phoneticPr fontId="50" type="noConversion"/>
  </si>
  <si>
    <t>Vous appliquez la TVA</t>
    <phoneticPr fontId="45" type="noConversion"/>
  </si>
  <si>
    <t>06 80 85 81 08</t>
    <phoneticPr fontId="50" type="noConversion"/>
  </si>
  <si>
    <t>Column21</t>
  </si>
  <si>
    <t>Date de fin du projet</t>
    <phoneticPr fontId="50" type="noConversion"/>
  </si>
  <si>
    <t>Column150</t>
  </si>
  <si>
    <t>Column30</t>
  </si>
  <si>
    <t>Column31</t>
  </si>
  <si>
    <t>Microentrepreneur Artisan</t>
    <phoneticPr fontId="50" type="noConversion"/>
  </si>
  <si>
    <t>POUR INFORMATION UNIQUEMENT (n'est pas utilisé dans les calculs)</t>
    <phoneticPr fontId="45" type="noConversion"/>
  </si>
  <si>
    <t>Column86</t>
  </si>
  <si>
    <t>C00060</t>
  </si>
  <si>
    <t>C00007</t>
  </si>
  <si>
    <t>C00066</t>
  </si>
  <si>
    <t>soit (pour info) un prix moyen par photo ou vidéo  de :</t>
    <phoneticPr fontId="50" type="noConversion"/>
  </si>
  <si>
    <t>TEMPS RÉEL en heures</t>
    <phoneticPr fontId="50" type="noConversion"/>
  </si>
  <si>
    <t>salaire brut</t>
    <phoneticPr fontId="50" type="noConversion"/>
  </si>
  <si>
    <t xml:space="preserve">PRIX MOYEN A LA PRISE DE VUE </t>
    <phoneticPr fontId="45" type="noConversion"/>
  </si>
  <si>
    <t>Column187</t>
  </si>
  <si>
    <t>Column37</t>
  </si>
  <si>
    <t>C00012</t>
  </si>
  <si>
    <t>B</t>
    <phoneticPr fontId="50" type="noConversion"/>
  </si>
  <si>
    <t>Column131</t>
  </si>
  <si>
    <t>Parking et Parcmetre</t>
    <phoneticPr fontId="50" type="noConversion"/>
  </si>
  <si>
    <t>≤ 1 an</t>
    <phoneticPr fontId="50" type="noConversion"/>
  </si>
  <si>
    <t>Location de véhicule</t>
    <phoneticPr fontId="50" type="noConversion"/>
  </si>
  <si>
    <t xml:space="preserve">Distance au sujet </t>
    <phoneticPr fontId="50" type="noConversion"/>
  </si>
  <si>
    <t>coût total par rapport au net en %</t>
    <phoneticPr fontId="50" type="noConversion"/>
  </si>
  <si>
    <t>Taille du sujet</t>
    <phoneticPr fontId="50" type="noConversion"/>
  </si>
  <si>
    <t>Column182</t>
  </si>
  <si>
    <t>Droits photos</t>
    <phoneticPr fontId="50" type="noConversion"/>
  </si>
  <si>
    <t>RÉCAPITULATIF</t>
    <phoneticPr fontId="50" type="noConversion"/>
  </si>
  <si>
    <t>Column71</t>
  </si>
  <si>
    <t>Column107</t>
  </si>
  <si>
    <t>Column108</t>
  </si>
  <si>
    <r>
      <t>CESSION DE DROIT POUR UTILISATION COMMUNICATION DE BASE</t>
    </r>
    <r>
      <rPr>
        <i/>
        <sz val="16"/>
        <color indexed="9"/>
        <rFont val="Arial"/>
        <family val="2"/>
      </rPr>
      <t xml:space="preserve"> ( brochure interne et externe, mailing, dépliants, etc)</t>
    </r>
    <phoneticPr fontId="50" type="noConversion"/>
  </si>
  <si>
    <t>TOTAL HT</t>
    <phoneticPr fontId="50" type="noConversion"/>
  </si>
  <si>
    <t>en m/m</t>
    <phoneticPr fontId="50" type="noConversion"/>
  </si>
  <si>
    <t>Column94</t>
  </si>
  <si>
    <t>FORFAITS</t>
    <phoneticPr fontId="50" type="noConversion"/>
  </si>
  <si>
    <t>Coefficient</t>
    <phoneticPr fontId="50" type="noConversion"/>
  </si>
  <si>
    <t>Column55</t>
  </si>
  <si>
    <t>pdv de 2 objets avec mise en lumière</t>
    <phoneticPr fontId="50" type="noConversion"/>
  </si>
  <si>
    <t>Column229</t>
  </si>
  <si>
    <t>Column242</t>
  </si>
  <si>
    <t>Column115</t>
  </si>
  <si>
    <t xml:space="preserve">indiquez le % que vous souhaitez appliquer </t>
    <phoneticPr fontId="50" type="noConversion"/>
  </si>
  <si>
    <t>Location de matériel technique</t>
  </si>
  <si>
    <t>Effectué</t>
  </si>
  <si>
    <t>Devisé</t>
    <phoneticPr fontId="50" type="noConversion"/>
  </si>
  <si>
    <t>Total TTC</t>
    <phoneticPr fontId="50" type="noConversion"/>
  </si>
  <si>
    <t>Le photographe ne pourra  être tenu responsable des objets qui lui sont confiés pour la durée de la prise de vue. Il appartiendra au client de prendre les éventuelles assurances complémentaires nécessaires. La responsabilité civile professionnel du photographe est couverte par son assurance dont référence figurent en tête de devis ou facture.</t>
    <phoneticPr fontId="50" type="noConversion"/>
  </si>
  <si>
    <t xml:space="preserve"> Les cases indiquant les pourcentages ne sont pas reportées, mais vous pouvez les modifier.</t>
  </si>
  <si>
    <t>C00059</t>
  </si>
  <si>
    <t>Nombre de personnes dans l'équipe :</t>
    <phoneticPr fontId="50" type="noConversion"/>
  </si>
  <si>
    <t>Column48</t>
  </si>
  <si>
    <t>Recherche et choix des intervenants</t>
    <phoneticPr fontId="50" type="noConversion"/>
  </si>
  <si>
    <t>Column233</t>
  </si>
  <si>
    <t>Column234</t>
  </si>
  <si>
    <t>Column191</t>
  </si>
  <si>
    <t>• Responsabilité :</t>
    <phoneticPr fontId="50" type="noConversion"/>
  </si>
  <si>
    <t>G</t>
    <phoneticPr fontId="50" type="noConversion"/>
  </si>
  <si>
    <t>Pays</t>
    <phoneticPr fontId="50" type="noConversion"/>
  </si>
  <si>
    <t>C00063</t>
  </si>
  <si>
    <t>Column47</t>
  </si>
  <si>
    <t>Column88</t>
  </si>
  <si>
    <t>Total</t>
    <phoneticPr fontId="50" type="noConversion"/>
  </si>
  <si>
    <t>Column255</t>
  </si>
  <si>
    <t>2 jours</t>
  </si>
  <si>
    <t>Case liée à l'onglet liste frais (1)</t>
    <phoneticPr fontId="50" type="noConversion"/>
  </si>
  <si>
    <t>C00038</t>
  </si>
  <si>
    <t>C00005</t>
  </si>
  <si>
    <t>Column201</t>
  </si>
  <si>
    <t>Column159</t>
  </si>
  <si>
    <t>Column59</t>
  </si>
  <si>
    <t>Column223</t>
  </si>
  <si>
    <t>Vous pouvez effacer la croix si vous ne souhaitez pas effectuer de dégressif</t>
    <phoneticPr fontId="45" type="noConversion"/>
  </si>
  <si>
    <t>Column208</t>
  </si>
  <si>
    <t xml:space="preserve"> 1/2 journée (4h)</t>
    <phoneticPr fontId="45" type="noConversion"/>
  </si>
  <si>
    <t>Column197</t>
  </si>
  <si>
    <t>Column198</t>
  </si>
  <si>
    <t>Quantité</t>
    <phoneticPr fontId="50" type="noConversion"/>
  </si>
  <si>
    <t>Coefficient de Durée</t>
  </si>
  <si>
    <t>FRANCE</t>
  </si>
  <si>
    <t>PAYS</t>
  </si>
  <si>
    <t>Contrôle final avant livraison</t>
    <phoneticPr fontId="50" type="noConversion"/>
  </si>
  <si>
    <t>Column153</t>
  </si>
  <si>
    <t>C00042</t>
  </si>
  <si>
    <t>C00043</t>
  </si>
  <si>
    <t>1 an</t>
    <phoneticPr fontId="50" type="noConversion"/>
  </si>
  <si>
    <t>N° SIRET</t>
    <phoneticPr fontId="50" type="noConversion"/>
  </si>
  <si>
    <t>C00006</t>
  </si>
  <si>
    <t>Indiqué uniquement sur la facture</t>
    <phoneticPr fontId="50" type="noConversion"/>
  </si>
  <si>
    <t>TEMPS PRÉVU en heures</t>
    <phoneticPr fontId="50" type="noConversion"/>
  </si>
  <si>
    <t>Droits vidéos prééxistantes</t>
  </si>
  <si>
    <t>Durées</t>
    <phoneticPr fontId="50" type="noConversion"/>
  </si>
  <si>
    <t>Column33</t>
  </si>
  <si>
    <t>Column34</t>
  </si>
  <si>
    <t>Nombre de produits présents sur chaque photo</t>
    <phoneticPr fontId="50" type="noConversion"/>
  </si>
  <si>
    <t>MONTANT DE LA COMMANDE</t>
    <phoneticPr fontId="50" type="noConversion"/>
  </si>
  <si>
    <t>Column65</t>
  </si>
  <si>
    <t>Column80</t>
  </si>
  <si>
    <t>C00022</t>
  </si>
  <si>
    <t>Column157</t>
  </si>
  <si>
    <t>RETOUCHE et CRÉATION NUM.</t>
    <phoneticPr fontId="50" type="noConversion"/>
  </si>
  <si>
    <t>Column243</t>
  </si>
  <si>
    <t>Minoration en cas de diffusion sur des sites à but non lucratif, associatif…</t>
    <phoneticPr fontId="50" type="noConversion"/>
  </si>
  <si>
    <t>ne pas modifer cette ilgne</t>
    <phoneticPr fontId="50" type="noConversion"/>
  </si>
  <si>
    <t>≤ 5.000.000 visites</t>
    <phoneticPr fontId="50" type="noConversion"/>
  </si>
  <si>
    <t>surface inox, manipulation délicate, etc …</t>
    <phoneticPr fontId="50" type="noConversion"/>
  </si>
  <si>
    <t>Expo, stand</t>
    <phoneticPr fontId="50" type="noConversion"/>
  </si>
  <si>
    <t>Se conformer au délai indiqué. Ce délai ne peut en aucun cas être négocié au delà de 60 jours nets à compter de la date de facture. Les remboursements de frais font l'objet d'une facturation séparée payable au comptant, sous huit jours à compter de la date de facture quelque soit le délai accordé pour le reste de la prestation. Un acompte versé n'est jamais remboursable et constitue une acceptation du devis sans réserve.</t>
    <phoneticPr fontId="50" type="noConversion"/>
  </si>
  <si>
    <t>C00008</t>
  </si>
  <si>
    <t>Téléphone</t>
    <phoneticPr fontId="50" type="noConversion"/>
  </si>
  <si>
    <t>Nombre de prises de vue par catégorie</t>
    <phoneticPr fontId="50" type="noConversion"/>
  </si>
  <si>
    <t>taux horaire</t>
    <phoneticPr fontId="45" type="noConversion"/>
  </si>
  <si>
    <t>Column239</t>
  </si>
  <si>
    <t>Pour la 3ème année</t>
    <phoneticPr fontId="50" type="noConversion"/>
  </si>
  <si>
    <t>Column120</t>
  </si>
  <si>
    <t>3,4 ou 5</t>
    <phoneticPr fontId="45" type="noConversion"/>
  </si>
  <si>
    <t>7 et plus</t>
    <phoneticPr fontId="50" type="noConversion"/>
  </si>
  <si>
    <t>Durée des droits</t>
  </si>
  <si>
    <t>GPLA</t>
    <phoneticPr fontId="50" type="noConversion"/>
  </si>
  <si>
    <t>Column3</t>
  </si>
  <si>
    <t>détail</t>
    <phoneticPr fontId="50" type="noConversion"/>
  </si>
  <si>
    <t>Column133</t>
  </si>
  <si>
    <t xml:space="preserve">….@... </t>
    <phoneticPr fontId="50" type="noConversion"/>
  </si>
  <si>
    <t>Column52</t>
  </si>
  <si>
    <t>Recherche accessoire</t>
    <phoneticPr fontId="50" type="noConversion"/>
  </si>
  <si>
    <t xml:space="preserve">Montant des droits à percevoir </t>
    <phoneticPr fontId="50" type="noConversion"/>
  </si>
  <si>
    <t>Column17</t>
  </si>
  <si>
    <t>Column230</t>
  </si>
  <si>
    <t>(1)</t>
    <phoneticPr fontId="50" type="noConversion"/>
  </si>
  <si>
    <t>Column185</t>
  </si>
  <si>
    <t>C00020</t>
  </si>
  <si>
    <t>Prix moyen / pdv</t>
    <phoneticPr fontId="50" type="noConversion"/>
  </si>
  <si>
    <t xml:space="preserve">Les pénalités de retard,de 12%, (doublées lorsqu'elles concernent des remboursements de frais) sont majorées, selon le décret n° 2012-1115 du 2/10/2012, d'une indemnité forfaitaire de 40 € pour frais de recouvrement, exigible dès le lendemain de la date d'échéance. </t>
    <phoneticPr fontId="50" type="noConversion"/>
  </si>
  <si>
    <t>Vélo</t>
    <phoneticPr fontId="50" type="noConversion"/>
  </si>
  <si>
    <t>A</t>
    <phoneticPr fontId="50" type="noConversion"/>
  </si>
  <si>
    <t>FACTURE D'ACOMPTE N°</t>
    <phoneticPr fontId="50" type="noConversion"/>
  </si>
  <si>
    <t>forfait[s]</t>
    <phoneticPr fontId="50" type="noConversion"/>
  </si>
  <si>
    <t>jour de prod / an &gt;</t>
    <phoneticPr fontId="50" type="noConversion"/>
  </si>
  <si>
    <t>% de calcul à partir de la valeur de référence de 20"</t>
    <phoneticPr fontId="50" type="noConversion"/>
  </si>
  <si>
    <t>© photo</t>
    <phoneticPr fontId="50" type="noConversion"/>
  </si>
  <si>
    <t>4 heures</t>
    <phoneticPr fontId="50" type="noConversion"/>
  </si>
  <si>
    <t>C00056</t>
  </si>
  <si>
    <t>Eric Delamarre</t>
  </si>
  <si>
    <t>Column192</t>
  </si>
  <si>
    <t>C00050</t>
  </si>
  <si>
    <t>C00051</t>
  </si>
  <si>
    <t>DEVIS 100 %</t>
    <phoneticPr fontId="50" type="noConversion"/>
  </si>
  <si>
    <t xml:space="preserve"> Par défaut "aujourd'hui", mais vous pouvez changer la date</t>
    <phoneticPr fontId="12" type="noConversion"/>
  </si>
  <si>
    <t>Column126</t>
  </si>
  <si>
    <t>C00011</t>
  </si>
  <si>
    <r>
      <t>Pour info : TEASER = 1mn</t>
    </r>
    <r>
      <rPr>
        <b/>
        <sz val="14"/>
        <color indexed="55"/>
        <rFont val="Arial"/>
        <family val="2"/>
      </rPr>
      <t xml:space="preserve"> [] </t>
    </r>
    <r>
      <rPr>
        <b/>
        <sz val="14"/>
        <rFont val="Arial"/>
        <family val="2"/>
      </rPr>
      <t xml:space="preserve">SEQUENCE = 2 à 3 mn </t>
    </r>
    <r>
      <rPr>
        <b/>
        <sz val="14"/>
        <color indexed="55"/>
        <rFont val="Arial"/>
        <family val="2"/>
      </rPr>
      <t>[]</t>
    </r>
    <r>
      <rPr>
        <b/>
        <sz val="14"/>
        <rFont val="Arial"/>
        <family val="2"/>
      </rPr>
      <t xml:space="preserve"> SHORT = 5 mn </t>
    </r>
    <r>
      <rPr>
        <b/>
        <sz val="14"/>
        <color indexed="55"/>
        <rFont val="Arial"/>
        <family val="2"/>
      </rPr>
      <t>[]</t>
    </r>
    <r>
      <rPr>
        <b/>
        <sz val="14"/>
        <rFont val="Arial"/>
        <family val="2"/>
      </rPr>
      <t xml:space="preserve"> FILM DE PRESENTATION  = 7 à 10 mn</t>
    </r>
    <r>
      <rPr>
        <b/>
        <sz val="14"/>
        <color indexed="55"/>
        <rFont val="Arial"/>
        <family val="2"/>
      </rPr>
      <t xml:space="preserve"> []</t>
    </r>
    <r>
      <rPr>
        <b/>
        <sz val="14"/>
        <rFont val="Arial"/>
        <family val="2"/>
      </rPr>
      <t xml:space="preserve"> FILM INSTITUTIONNEL = 15 à 17 mn </t>
    </r>
    <r>
      <rPr>
        <b/>
        <sz val="14"/>
        <color indexed="55"/>
        <rFont val="Arial"/>
        <family val="2"/>
      </rPr>
      <t>[]</t>
    </r>
    <r>
      <rPr>
        <b/>
        <sz val="14"/>
        <rFont val="Arial"/>
        <family val="2"/>
      </rPr>
      <t xml:space="preserve"> DOCUMENTAIRE = 20 mn </t>
    </r>
    <r>
      <rPr>
        <b/>
        <sz val="14"/>
        <color indexed="55"/>
        <rFont val="Arial"/>
        <family val="2"/>
      </rPr>
      <t>[]</t>
    </r>
    <r>
      <rPr>
        <b/>
        <sz val="14"/>
        <rFont val="Arial"/>
        <family val="2"/>
      </rPr>
      <t xml:space="preserve"> REPORTAGE =  50 mn</t>
    </r>
    <phoneticPr fontId="50" type="noConversion"/>
  </si>
  <si>
    <t>Column51</t>
  </si>
  <si>
    <t>indicatif</t>
    <phoneticPr fontId="50" type="noConversion"/>
  </si>
  <si>
    <t>• Cession des droits :</t>
  </si>
  <si>
    <t>Column172</t>
  </si>
  <si>
    <t>Règlement par chèque ou virement sous 8 jours à compter de la date de facture</t>
    <phoneticPr fontId="50" type="noConversion"/>
  </si>
  <si>
    <t>Column186</t>
  </si>
  <si>
    <t>Column130</t>
  </si>
  <si>
    <t>….</t>
    <phoneticPr fontId="50" type="noConversion"/>
  </si>
  <si>
    <t>Column218</t>
  </si>
  <si>
    <t>Column225</t>
  </si>
  <si>
    <t>Column112</t>
  </si>
  <si>
    <t>Durée de base en sec.</t>
    <phoneticPr fontId="50" type="noConversion"/>
  </si>
  <si>
    <t>Column13</t>
  </si>
  <si>
    <t xml:space="preserve">Recherche / analyse de la demande </t>
    <phoneticPr fontId="50" type="noConversion"/>
  </si>
  <si>
    <t>≤ 1 an</t>
    <phoneticPr fontId="50" type="noConversion"/>
  </si>
  <si>
    <t>Column62</t>
  </si>
  <si>
    <t>• Conditions de réglement :</t>
  </si>
  <si>
    <t>PRISES DE VUE</t>
    <phoneticPr fontId="50" type="noConversion"/>
  </si>
  <si>
    <t xml:space="preserve"> &lt;= Cocher pour transformer votre DEVIS en FACTURE </t>
    <phoneticPr fontId="50" type="noConversion"/>
  </si>
  <si>
    <t>Column68</t>
  </si>
  <si>
    <t>pdv effectuées</t>
    <phoneticPr fontId="45" type="noConversion"/>
  </si>
  <si>
    <t>Column102</t>
  </si>
  <si>
    <t>Column142</t>
  </si>
  <si>
    <t>Column213</t>
  </si>
  <si>
    <t xml:space="preserve">remisés de </t>
    <phoneticPr fontId="50" type="noConversion"/>
  </si>
  <si>
    <t>5 ans</t>
    <phoneticPr fontId="50" type="noConversion"/>
  </si>
  <si>
    <t>Droits vidéos commandes</t>
  </si>
  <si>
    <t xml:space="preserve">Durée </t>
    <phoneticPr fontId="50" type="noConversion"/>
  </si>
  <si>
    <t>FRAIS RÉELS (AVEC JUSTIFICATIFS)</t>
    <phoneticPr fontId="50" type="noConversion"/>
  </si>
  <si>
    <t>ÉVALUATION FRAIS KM</t>
    <phoneticPr fontId="50" type="noConversion"/>
  </si>
  <si>
    <r>
      <t xml:space="preserve">Validité du devis en jours </t>
    </r>
    <r>
      <rPr>
        <i/>
        <sz val="11"/>
        <rFont val="Arial"/>
        <family val="2"/>
      </rPr>
      <t>(en moyenne de 1 à 2 mois)</t>
    </r>
    <phoneticPr fontId="45" type="noConversion"/>
  </si>
  <si>
    <t>Personnaliser les cases grises et jaunes pour les adapter à votre projet</t>
  </si>
  <si>
    <t xml:space="preserve">salaire net </t>
    <phoneticPr fontId="50" type="noConversion"/>
  </si>
  <si>
    <t>C00095</t>
  </si>
  <si>
    <t>Voiture</t>
    <phoneticPr fontId="50" type="noConversion"/>
  </si>
  <si>
    <t>C00044</t>
  </si>
  <si>
    <t>C00024</t>
  </si>
  <si>
    <t>Mr Ne-pas-suprimer</t>
    <phoneticPr fontId="50" type="noConversion"/>
  </si>
  <si>
    <t>Coefficient appliqué au montant du pack</t>
    <phoneticPr fontId="50" type="noConversion"/>
  </si>
  <si>
    <t>25 rue parissi</t>
    <phoneticPr fontId="50" type="noConversion"/>
  </si>
  <si>
    <t>Column222</t>
  </si>
  <si>
    <t>Column176</t>
  </si>
  <si>
    <t>Column206</t>
  </si>
  <si>
    <t>C00032</t>
  </si>
  <si>
    <t>PRENOM</t>
    <phoneticPr fontId="50" type="noConversion"/>
  </si>
  <si>
    <t>Column220</t>
  </si>
  <si>
    <t>Droits annonces presse (Barème journal officiel)</t>
    <phoneticPr fontId="50" type="noConversion"/>
  </si>
  <si>
    <r>
      <t>66</t>
    </r>
    <r>
      <rPr>
        <i/>
        <sz val="12"/>
        <color indexed="8"/>
        <rFont val="Calibri"/>
        <family val="2"/>
      </rPr>
      <t xml:space="preserve"> Personnalisable </t>
    </r>
    <r>
      <rPr>
        <i/>
        <sz val="12"/>
        <color indexed="8"/>
        <rFont val="Wingdings 3"/>
        <charset val="2"/>
      </rPr>
      <t>66</t>
    </r>
    <phoneticPr fontId="50" type="noConversion"/>
  </si>
  <si>
    <t>Informations sur les coûts des studios de locations en prix au métre carré pour une heure</t>
    <phoneticPr fontId="50" type="noConversion"/>
  </si>
  <si>
    <t>Réunion (durée)</t>
    <phoneticPr fontId="50" type="noConversion"/>
  </si>
  <si>
    <t>Column164</t>
  </si>
  <si>
    <t>28% des studios sont à :</t>
  </si>
  <si>
    <t>1 an</t>
  </si>
  <si>
    <t>Montage vidéo</t>
  </si>
  <si>
    <t>Droits VIDÉO de commandes forfaitaires cédés par lots</t>
    <phoneticPr fontId="50" type="noConversion"/>
  </si>
  <si>
    <t>F</t>
    <phoneticPr fontId="50" type="noConversion"/>
  </si>
  <si>
    <t>Date</t>
    <phoneticPr fontId="45"/>
  </si>
  <si>
    <t>Column249</t>
  </si>
  <si>
    <t>Column250</t>
  </si>
  <si>
    <t>C00089</t>
  </si>
  <si>
    <t>Column28</t>
  </si>
  <si>
    <t xml:space="preserve"> 3 heures</t>
    <phoneticPr fontId="45" type="noConversion"/>
  </si>
  <si>
    <t>Les photographies sont livrées sous forme de fichiers de type TIF, JPEG ou similaire, et ne sont jamais transmises sous forme de fichiers RAW, de fichiers de montage avec calques, ou autre format de fichier natif. Si la transmission de fichiers natifs est absolument nécessaire pour des raisons techniques, elle doit être prévue préalablement à la signature du devis et explicitement mentionnée dans celui-ci. Dans le cas où un fichier natif est transmis au client, celui-ci s'engage de façon formelle à ne pas l'utiliser en dehors des termes initialement prévus.</t>
    <phoneticPr fontId="50" type="noConversion"/>
  </si>
  <si>
    <t>C00037</t>
  </si>
  <si>
    <t>Column69</t>
  </si>
  <si>
    <t>Column70</t>
  </si>
  <si>
    <t>Column4</t>
  </si>
  <si>
    <t>Column5</t>
  </si>
  <si>
    <t>Base de client mis en place avec la participation majeure de Samuel HOURCADE</t>
    <phoneticPr fontId="50" type="noConversion"/>
  </si>
  <si>
    <t>Column246</t>
  </si>
  <si>
    <t>C00078</t>
  </si>
  <si>
    <t>photographe</t>
    <phoneticPr fontId="45" type="noConversion"/>
  </si>
  <si>
    <t>C00055</t>
  </si>
  <si>
    <t>C00025</t>
  </si>
  <si>
    <r>
      <t>66</t>
    </r>
    <r>
      <rPr>
        <i/>
        <sz val="12"/>
        <color indexed="8"/>
        <rFont val="Calibri"/>
        <family val="2"/>
      </rPr>
      <t xml:space="preserve"> Personnalisable </t>
    </r>
    <r>
      <rPr>
        <i/>
        <sz val="12"/>
        <color indexed="8"/>
        <rFont val="Wingdings 3"/>
        <charset val="2"/>
      </rPr>
      <t>66</t>
    </r>
    <phoneticPr fontId="50" type="noConversion"/>
  </si>
  <si>
    <t>Remplacer la première ligne par les coordonnées de votre premier client puis continuer, il n'est pas obligatoire de renseigner toutes les colonnes pour le devis / facture, juste les colonnes bleues</t>
    <phoneticPr fontId="50" type="noConversion"/>
  </si>
  <si>
    <t>indicatif</t>
    <phoneticPr fontId="50" type="noConversion"/>
  </si>
  <si>
    <r>
      <t>Total forfaits</t>
    </r>
    <r>
      <rPr>
        <b/>
        <vertAlign val="superscript"/>
        <sz val="12"/>
        <color indexed="9"/>
        <rFont val="Arial"/>
        <family val="2"/>
      </rPr>
      <t>(1)</t>
    </r>
    <phoneticPr fontId="50" type="noConversion"/>
  </si>
  <si>
    <t>Droit de représentation</t>
    <phoneticPr fontId="50" type="noConversion"/>
  </si>
  <si>
    <t>Aucun escompte accordé pour règlement comptant</t>
  </si>
  <si>
    <t>1 photo</t>
    <phoneticPr fontId="50" type="noConversion"/>
  </si>
  <si>
    <t>Mettre un " X " dans toutes les cases qui correspondent à la durée de la tâche</t>
    <phoneticPr fontId="50" type="noConversion"/>
  </si>
  <si>
    <t>Taille sur capteur</t>
    <phoneticPr fontId="50" type="noConversion"/>
  </si>
  <si>
    <t>Column8</t>
  </si>
  <si>
    <t>Mettre un croix sous le nombre de  photos demandées</t>
    <phoneticPr fontId="50" type="noConversion"/>
  </si>
  <si>
    <t>Column98</t>
  </si>
  <si>
    <t>0 00 00 00 00 000</t>
    <phoneticPr fontId="50" type="noConversion"/>
  </si>
  <si>
    <t>Column100</t>
  </si>
  <si>
    <t>Les indemnités sont calculées soit en additionnant le temps passé en déplacement + les indemnités kilométriques ou en utilisant le ratio supplémentaire appliqué au km.</t>
    <phoneticPr fontId="50" type="noConversion"/>
  </si>
  <si>
    <t>Leo</t>
    <phoneticPr fontId="50" type="noConversion"/>
  </si>
  <si>
    <t>Column193</t>
  </si>
  <si>
    <t>Frais de carburant</t>
    <phoneticPr fontId="50" type="noConversion"/>
  </si>
  <si>
    <t>Column251</t>
  </si>
  <si>
    <t>salaire brut</t>
    <phoneticPr fontId="45" type="noConversion"/>
  </si>
  <si>
    <t>Column26</t>
  </si>
  <si>
    <t>Coefficient de Visibilité</t>
  </si>
  <si>
    <t>Column252</t>
  </si>
  <si>
    <t>Column247</t>
  </si>
  <si>
    <t>SOIT UNE SURFACE DE :</t>
    <phoneticPr fontId="50" type="noConversion"/>
  </si>
  <si>
    <t>Nb photos commandées</t>
  </si>
  <si>
    <t>CONDITIONS GENERALES DE LA  PRESTATION ET D'UTILISATION ET DIFFUSION DES VISUELS</t>
    <phoneticPr fontId="50" type="noConversion"/>
  </si>
  <si>
    <t>&lt;= Inscrire la durée la vidéo</t>
    <phoneticPr fontId="50" type="noConversion"/>
  </si>
  <si>
    <t>C00046</t>
  </si>
  <si>
    <t>Column36</t>
  </si>
  <si>
    <t>Column19</t>
  </si>
  <si>
    <t>Column20</t>
  </si>
  <si>
    <t>C00080</t>
  </si>
  <si>
    <t>Column215</t>
  </si>
  <si>
    <t>Column113</t>
  </si>
  <si>
    <t>Column114</t>
  </si>
  <si>
    <t>est obligatoire lors de chaque utilisation de l’image. (Loi N°92-597 du 1er Juillet 1992).</t>
    <phoneticPr fontId="50" type="noConversion"/>
  </si>
  <si>
    <t>Parking</t>
    <phoneticPr fontId="50" type="noConversion"/>
  </si>
  <si>
    <t>N°et rue</t>
    <phoneticPr fontId="50" type="noConversion"/>
  </si>
  <si>
    <t>Ci-dessous la somme qui sera reportée sur le devis (modifiable manuellement)</t>
    <phoneticPr fontId="50" type="noConversion"/>
  </si>
  <si>
    <t>Column97</t>
  </si>
  <si>
    <t>Column209</t>
  </si>
  <si>
    <t>Retouche</t>
    <phoneticPr fontId="45" type="noConversion"/>
  </si>
  <si>
    <t>Distance latérale mur/ sujet en mètres</t>
  </si>
  <si>
    <t>Total HT</t>
    <phoneticPr fontId="50" type="noConversion"/>
  </si>
  <si>
    <t>Avion</t>
    <phoneticPr fontId="50" type="noConversion"/>
  </si>
  <si>
    <t>Column83</t>
  </si>
  <si>
    <t>Column135</t>
  </si>
  <si>
    <t>Column236</t>
  </si>
  <si>
    <t>Libéllés des catégories</t>
    <phoneticPr fontId="50" type="noConversion"/>
  </si>
  <si>
    <t>Se référer à la puissance fiscale indiquée sur la carte grise du véhicule (indice P6)</t>
    <phoneticPr fontId="50" type="noConversion"/>
  </si>
  <si>
    <t>Répondre par Oui ou Non</t>
    <phoneticPr fontId="50" type="noConversion"/>
  </si>
  <si>
    <t>Column190</t>
  </si>
  <si>
    <t xml:space="preserve">POUR INFORMATION </t>
    <phoneticPr fontId="50" type="noConversion"/>
  </si>
  <si>
    <t>C00003</t>
  </si>
  <si>
    <t>C00029</t>
  </si>
  <si>
    <t>C00030</t>
  </si>
  <si>
    <t>CONTRIBUTION SOCIALE</t>
  </si>
  <si>
    <t>Column219</t>
  </si>
  <si>
    <t>Activer par un " X "</t>
    <phoneticPr fontId="45" type="noConversion"/>
  </si>
  <si>
    <t>Nbr de 1/2 jée</t>
    <phoneticPr fontId="50" type="noConversion"/>
  </si>
  <si>
    <t>Nbr de jée</t>
    <phoneticPr fontId="50" type="noConversion"/>
  </si>
  <si>
    <t>Column207</t>
  </si>
  <si>
    <t>coût total du salaire</t>
    <phoneticPr fontId="50" type="noConversion"/>
  </si>
  <si>
    <t>KM</t>
    <phoneticPr fontId="45" type="noConversion"/>
  </si>
  <si>
    <t>En plus du developpement des fichiers, il arrive de devoir facturer de la retouche, cette dernière se facture généralement à l'heure</t>
    <phoneticPr fontId="45" type="noConversion"/>
  </si>
  <si>
    <t>A noter que le versement de l'acompte n'entraîne aucune cession des droits d'exploitation qui ne seront définitivement acquis qu'à la réception totale du montant de la facture.</t>
    <phoneticPr fontId="50" type="noConversion"/>
  </si>
  <si>
    <t>Les cases jaunes et oranges sont modifiables pour s'adapter à votre mode de fonctionnement et vos équipes. Elles seront reportées sur votre devis en l'état.</t>
  </si>
  <si>
    <t xml:space="preserve">Indiquez le nombre de photos avant d'inscrire la durée de l'exposition </t>
    <phoneticPr fontId="50" type="noConversion"/>
  </si>
  <si>
    <t>ACOMPTE</t>
    <phoneticPr fontId="50" type="noConversion"/>
  </si>
  <si>
    <t xml:space="preserve">Rappel pour information </t>
    <phoneticPr fontId="50" type="noConversion"/>
  </si>
  <si>
    <t>Hôtel 3 étoiles Grandes Villes</t>
    <phoneticPr fontId="50" type="noConversion"/>
  </si>
  <si>
    <t>C00054</t>
  </si>
  <si>
    <t xml:space="preserve"> Certaines devant être terminées pour que d'autres commencent. La ligne "détail" vous permet de préciser un point important éventuel.</t>
    <phoneticPr fontId="50" type="noConversion"/>
  </si>
  <si>
    <t>Diffusion France seule</t>
    <phoneticPr fontId="50" type="noConversion"/>
  </si>
  <si>
    <t>≤ 6 mois</t>
    <phoneticPr fontId="50" type="noConversion"/>
  </si>
  <si>
    <t>N° client</t>
    <phoneticPr fontId="50" type="noConversion"/>
  </si>
  <si>
    <t>Echantillonage effectué sur 90 propositions de prix en région parisienne</t>
    <phoneticPr fontId="50" type="noConversion"/>
  </si>
  <si>
    <t xml:space="preserve">Estimation à vérifier avant toute décision </t>
    <phoneticPr fontId="50" type="noConversion"/>
  </si>
  <si>
    <t>Column60</t>
  </si>
  <si>
    <r>
      <t>m</t>
    </r>
    <r>
      <rPr>
        <b/>
        <vertAlign val="superscript"/>
        <sz val="14"/>
        <color indexed="8"/>
        <rFont val="Arial"/>
        <family val="2"/>
      </rPr>
      <t>2</t>
    </r>
    <phoneticPr fontId="50" type="noConversion"/>
  </si>
  <si>
    <t>Total</t>
    <phoneticPr fontId="50" type="noConversion"/>
  </si>
  <si>
    <t>Majoration éventuelle</t>
    <phoneticPr fontId="50" type="noConversion"/>
  </si>
  <si>
    <r>
      <t xml:space="preserve">Forfaits de droits d'une </t>
    </r>
    <r>
      <rPr>
        <b/>
        <i/>
        <sz val="12"/>
        <rFont val="Arial"/>
        <family val="2"/>
      </rPr>
      <t>VIDÉO PRÉÉXISTANTE</t>
    </r>
    <r>
      <rPr>
        <i/>
        <sz val="12"/>
        <rFont val="Arial"/>
        <family val="2"/>
      </rPr>
      <t xml:space="preserve"> (vidéo pour chaine télé ou festival - facturation uniquement des droits de diffusion - la vidéo étant le produit de "l'activité artistique" de l'auteur)</t>
    </r>
  </si>
  <si>
    <t>INDICATIONS POUR VOUS AIDER DANS LES LIENS ENTRE LA TAILLE DU CAPTEUR ET LES FOCALES</t>
  </si>
  <si>
    <t xml:space="preserve">  Forfait jour (de 5 à 7h)</t>
  </si>
  <si>
    <t>PU de 2 à 5 pers.</t>
  </si>
  <si>
    <t xml:space="preserve">Vous pouvez modifier les libellés pour qu'ils correspondent à vos prestations. </t>
    <phoneticPr fontId="45" type="noConversion"/>
  </si>
  <si>
    <r>
      <t xml:space="preserve">Temps de pdv additionnel estimé </t>
    </r>
    <r>
      <rPr>
        <b/>
        <i/>
        <sz val="14"/>
        <rFont val="Arial"/>
        <family val="2"/>
      </rPr>
      <t>en minute</t>
    </r>
    <r>
      <rPr>
        <i/>
        <sz val="14"/>
        <rFont val="Arial"/>
        <family val="2"/>
      </rPr>
      <t xml:space="preserve"> par personne et par photo supplémentaire</t>
    </r>
  </si>
  <si>
    <t>Montant à utiliser pour les cession autres que Europe, US, Canada, Japon, Australie et Nelle-Zélande</t>
    <phoneticPr fontId="50" type="noConversion"/>
  </si>
  <si>
    <t>Détail des frais réels relatifs à l'hébergement et la restauration.</t>
    <phoneticPr fontId="50" type="noConversion"/>
  </si>
  <si>
    <t>Taille du sujet sur le CAPTEUR en mm (pas sur l'écran)</t>
  </si>
  <si>
    <t xml:space="preserve">Droits VIDÉO PRÉÉXISTANTES en sec. pour salon et diffusion web </t>
  </si>
  <si>
    <t>Hôtel / P.Dej</t>
    <phoneticPr fontId="50" type="noConversion"/>
  </si>
  <si>
    <t xml:space="preserve">Aucun escompte accordé pour paiement comptant. </t>
  </si>
  <si>
    <t>Voir base client</t>
    <phoneticPr fontId="50" type="noConversion"/>
  </si>
  <si>
    <t>C00040</t>
  </si>
  <si>
    <t>C00026</t>
  </si>
  <si>
    <t>Pauses</t>
    <phoneticPr fontId="50" type="noConversion"/>
  </si>
  <si>
    <t>Total</t>
  </si>
  <si>
    <r>
      <t xml:space="preserve">Paiement direct des </t>
    </r>
    <r>
      <rPr>
        <b/>
        <i/>
        <sz val="10"/>
        <color indexed="9"/>
        <rFont val="Arial"/>
        <family val="2"/>
      </rPr>
      <t>LOCATIONS DE MATÉRIEL</t>
    </r>
    <r>
      <rPr>
        <i/>
        <sz val="10"/>
        <color indexed="9"/>
        <rFont val="Arial"/>
        <family val="2"/>
      </rPr>
      <t xml:space="preserve"> </t>
    </r>
    <r>
      <rPr>
        <b/>
        <i/>
        <sz val="10"/>
        <color indexed="9"/>
        <rFont val="Arial"/>
        <family val="2"/>
      </rPr>
      <t>ET FRAIS DIVERS</t>
    </r>
    <r>
      <rPr>
        <i/>
        <sz val="10"/>
        <color indexed="9"/>
        <rFont val="Arial"/>
        <family val="2"/>
      </rPr>
      <t xml:space="preserve"> par le client</t>
    </r>
    <phoneticPr fontId="50" type="noConversion"/>
  </si>
  <si>
    <t>UNIQUEMENT POUR LES ÉVALUATIONS FORFAITAIRES</t>
    <phoneticPr fontId="50" type="noConversion"/>
  </si>
  <si>
    <t>Column77</t>
  </si>
  <si>
    <r>
      <t xml:space="preserve"> x 1,5</t>
    </r>
    <r>
      <rPr>
        <i/>
        <sz val="10"/>
        <color indexed="9"/>
        <rFont val="Arial"/>
        <family val="2"/>
      </rPr>
      <t xml:space="preserve"> du prix de base</t>
    </r>
  </si>
  <si>
    <t>TOTAL</t>
    <phoneticPr fontId="50" type="noConversion"/>
  </si>
  <si>
    <t>suppl.</t>
    <phoneticPr fontId="50" type="noConversion"/>
  </si>
  <si>
    <t xml:space="preserve">unité de temps </t>
    <phoneticPr fontId="50" type="noConversion"/>
  </si>
  <si>
    <t>Suppléments Div. (Tel,..)</t>
    <phoneticPr fontId="50" type="noConversion"/>
  </si>
  <si>
    <t>Restaurants</t>
    <phoneticPr fontId="50" type="noConversion"/>
  </si>
  <si>
    <t>Laisser de la place à gauche et à droite pour disposer l'éclairage</t>
  </si>
  <si>
    <t>X</t>
  </si>
  <si>
    <t>L'auteur ne fournit (sauf exception) aucune autorisation émanant des personnes photographiées, des propriétaires des biens meubles et immeubles ou encore des auteurs d’oeuvres présentées sur les photographies ou de leurs cessionnaires et ayants droits. Il appartient au client, utilisateur des photographies d’obtenir ces autorisations.</t>
    <phoneticPr fontId="50" type="noConversion"/>
  </si>
  <si>
    <t>C00001</t>
  </si>
  <si>
    <t/>
  </si>
  <si>
    <t>C00045</t>
  </si>
  <si>
    <t>Column170</t>
  </si>
  <si>
    <t>Column171</t>
  </si>
  <si>
    <t>MONTANT DE LA COMMANDE</t>
    <phoneticPr fontId="50" type="noConversion"/>
  </si>
  <si>
    <t>Column7</t>
  </si>
  <si>
    <r>
      <t xml:space="preserve">Indiquez le ici </t>
    </r>
    <r>
      <rPr>
        <b/>
        <sz val="14"/>
        <rFont val="Wingdings 3"/>
        <charset val="2"/>
      </rPr>
      <t xml:space="preserve">a </t>
    </r>
    <phoneticPr fontId="50" type="noConversion"/>
  </si>
  <si>
    <t>détail</t>
    <phoneticPr fontId="50" type="noConversion"/>
  </si>
  <si>
    <t>Column237</t>
  </si>
  <si>
    <t>Column238</t>
  </si>
  <si>
    <t>Sélectionner par une "x" la valeur moyenne retenue</t>
    <phoneticPr fontId="50" type="noConversion"/>
  </si>
  <si>
    <t>Column73</t>
  </si>
  <si>
    <t>Pour une diffusion France seule, appliquez un coefficient (activé par une croix case sous le coefficient)</t>
    <phoneticPr fontId="50" type="noConversion"/>
  </si>
  <si>
    <t>La retouche est indépendante du temps de prises de vue, elle est évaluée à l'heure</t>
    <phoneticPr fontId="45" type="noConversion"/>
  </si>
  <si>
    <t>Indiquer la durée pour :</t>
    <phoneticPr fontId="50" type="noConversion"/>
  </si>
  <si>
    <t>Piacenza</t>
  </si>
  <si>
    <t>Column1</t>
  </si>
  <si>
    <t xml:space="preserve">Distance arrière mur / sujet en mètres </t>
  </si>
  <si>
    <t>Qui ?</t>
    <phoneticPr fontId="50" type="noConversion"/>
  </si>
  <si>
    <t>Visibilité digitale: Nb abonnés (followers) réseaux sociaux, ou visites sur le site par mois</t>
    <phoneticPr fontId="50" type="noConversion"/>
  </si>
  <si>
    <t xml:space="preserve">Moodboard </t>
    <phoneticPr fontId="50" type="noConversion"/>
  </si>
  <si>
    <t>Column245</t>
  </si>
  <si>
    <t>Column217</t>
  </si>
  <si>
    <t>Column132</t>
  </si>
  <si>
    <t>TOTAUX</t>
    <phoneticPr fontId="50" type="noConversion"/>
  </si>
  <si>
    <t>Pour la 4ème année</t>
    <phoneticPr fontId="50" type="noConversion"/>
  </si>
  <si>
    <t>Hébergement</t>
    <phoneticPr fontId="50" type="noConversion"/>
  </si>
  <si>
    <t>Soit PU :</t>
    <phoneticPr fontId="50" type="noConversion"/>
  </si>
  <si>
    <t>Répondre par Oui ou Non</t>
    <phoneticPr fontId="50" type="noConversion"/>
  </si>
  <si>
    <t>Evaluation du coût du temps de trajet / travel day</t>
    <phoneticPr fontId="45" type="noConversion"/>
  </si>
  <si>
    <t>avec le temps de déplacement</t>
    <phoneticPr fontId="50" type="noConversion"/>
  </si>
  <si>
    <t>Column232</t>
  </si>
  <si>
    <t>Temps passé par personne en minutes pour une photo livrée.</t>
    <phoneticPr fontId="50" type="noConversion"/>
  </si>
  <si>
    <t>Temps moyen de retouche en mn par série de portraits de la même personne</t>
  </si>
  <si>
    <t>indemnité de précarité</t>
    <phoneticPr fontId="50" type="noConversion"/>
  </si>
  <si>
    <r>
      <t xml:space="preserve">Location de studio </t>
    </r>
    <r>
      <rPr>
        <i/>
        <sz val="12"/>
        <color indexed="9"/>
        <rFont val="Calibri"/>
        <family val="2"/>
      </rPr>
      <t>(estimation à confirmer)</t>
    </r>
    <phoneticPr fontId="50" type="noConversion"/>
  </si>
  <si>
    <t>Column104</t>
  </si>
  <si>
    <t>Code Postal</t>
    <phoneticPr fontId="50" type="noConversion"/>
  </si>
  <si>
    <t>A</t>
    <phoneticPr fontId="45" type="noConversion"/>
  </si>
  <si>
    <t>C00087</t>
  </si>
  <si>
    <t>C00084</t>
  </si>
  <si>
    <t>C00085</t>
  </si>
  <si>
    <t>% par 5 sec suppl</t>
    <phoneticPr fontId="50" type="noConversion"/>
  </si>
  <si>
    <t>Les tranches de calcul sont découpées à partir de 1, puis de 2 à 5, puis de 6 à 10, et ensuite par dizaine jusqu'à 40 et ensuite prix unique.</t>
    <phoneticPr fontId="50" type="noConversion"/>
  </si>
  <si>
    <t>Si vous avez des frais d'accessoirisation, utilisez l'onglet liste frais, ils apparaitront en global sur la facture. Le prix moyen s'affiche automatiquement sur la facture/devis mais peut être supprimé sans incidence sur le reste des informations.</t>
  </si>
  <si>
    <t>coefficient modération quantité</t>
  </si>
  <si>
    <t>X0X0X0X</t>
    <phoneticPr fontId="50" type="noConversion"/>
  </si>
  <si>
    <t>Column44</t>
  </si>
  <si>
    <t>C00047</t>
  </si>
  <si>
    <t>Pour les expositions permanentes dans les locaux de l'entreprise, les tirages ne sont pas numérôtés et doivent être utilisés uniquement dans le cadre de décoration des locaux, à défaut il faudrait facturer des droits de representation en sus.</t>
    <phoneticPr fontId="50" type="noConversion"/>
  </si>
  <si>
    <t>N° Intracomm TVA :</t>
    <phoneticPr fontId="45" type="noConversion"/>
  </si>
  <si>
    <t>C00068</t>
  </si>
  <si>
    <t xml:space="preserve">Cette distance est celle qui va séparer votre lentille frontale du sujet, elle est juste à 95%. La formule ne fonctionne pas pour des prises de vue d'objet en macro ou prise de vue très rapprochée. </t>
  </si>
  <si>
    <t>C00009</t>
  </si>
  <si>
    <t>TOTAUX</t>
    <phoneticPr fontId="50" type="noConversion"/>
  </si>
  <si>
    <t>TTC vers HT</t>
    <phoneticPr fontId="50" type="noConversion"/>
  </si>
  <si>
    <t>Voir l'onglet "location de studio"</t>
    <phoneticPr fontId="50" type="noConversion"/>
  </si>
  <si>
    <t>Frais réels</t>
    <phoneticPr fontId="50" type="noConversion"/>
  </si>
  <si>
    <t>Personnaliser</t>
    <phoneticPr fontId="50" type="noConversion"/>
  </si>
  <si>
    <t>0h30 = 0,5</t>
    <phoneticPr fontId="45" type="noConversion"/>
  </si>
  <si>
    <t>Frais réels</t>
    <phoneticPr fontId="50" type="noConversion"/>
  </si>
  <si>
    <t>ÉLÉMENTS TRANSFÉRÉS SUR LE DEVIS</t>
    <phoneticPr fontId="50" type="noConversion"/>
  </si>
  <si>
    <r>
      <t xml:space="preserve"> x 1 </t>
    </r>
    <r>
      <rPr>
        <i/>
        <sz val="10"/>
        <color indexed="9"/>
        <rFont val="Arial"/>
        <family val="2"/>
      </rPr>
      <t>du prix de base</t>
    </r>
  </si>
  <si>
    <t>indemnité de précarité</t>
    <phoneticPr fontId="50" type="noConversion"/>
  </si>
  <si>
    <t>Forfait Print</t>
    <phoneticPr fontId="50" type="noConversion"/>
  </si>
  <si>
    <t>Prix de journée</t>
    <phoneticPr fontId="45" type="noConversion"/>
  </si>
  <si>
    <t>INFORMATIONS CHARGES SOCIALES SUR SALAIRES (2019)</t>
    <phoneticPr fontId="50" type="noConversion"/>
  </si>
  <si>
    <t>C00082</t>
  </si>
  <si>
    <t>Droit d'exposition, stands, kakemono, roll-up,..</t>
    <phoneticPr fontId="50" type="noConversion"/>
  </si>
  <si>
    <t>C</t>
    <phoneticPr fontId="50" type="noConversion"/>
  </si>
  <si>
    <t>Écrire "en cours" si vous ne l'avez pas encore reçu</t>
    <phoneticPr fontId="50" type="noConversion"/>
  </si>
  <si>
    <t>Column224</t>
  </si>
  <si>
    <t>Pour la 2ème année</t>
    <phoneticPr fontId="50" type="noConversion"/>
  </si>
  <si>
    <t>Pour trouver un client plus rapidement, faire Ctrl + touche F</t>
  </si>
  <si>
    <t xml:space="preserve">Distance arrière mur / appareil en mètres </t>
  </si>
  <si>
    <t>Total de l'ensemble pdv + retouche + production  + droits + déplacement</t>
  </si>
  <si>
    <t>Temps moyen de détourage en mn par produit</t>
  </si>
  <si>
    <t>Indiquer le mode de paiement par une X  ci-dessous</t>
    <phoneticPr fontId="45" type="noConversion"/>
  </si>
  <si>
    <t>Tâche</t>
    <phoneticPr fontId="50" type="noConversion"/>
  </si>
  <si>
    <t>Column63</t>
  </si>
  <si>
    <t>Column103</t>
  </si>
  <si>
    <t xml:space="preserve">DÉPLACEMENTS </t>
    <phoneticPr fontId="50" type="noConversion"/>
  </si>
  <si>
    <t>Les chiifres correspondent au barème offciel pour une distance annurelle inférieure à 5000 km</t>
    <phoneticPr fontId="50" type="noConversion"/>
  </si>
  <si>
    <t>Column205</t>
  </si>
  <si>
    <t>Taxi</t>
    <phoneticPr fontId="50" type="noConversion"/>
  </si>
  <si>
    <t>NOM</t>
    <phoneticPr fontId="50" type="noConversion"/>
  </si>
  <si>
    <t xml:space="preserve">Par rapport au coût unitaire de base </t>
    <phoneticPr fontId="45" type="noConversion"/>
  </si>
  <si>
    <r>
      <t xml:space="preserve">Pour facturer des </t>
    </r>
    <r>
      <rPr>
        <b/>
        <i/>
        <sz val="12"/>
        <rFont val="Arial"/>
        <family val="2"/>
      </rPr>
      <t xml:space="preserve">temps intermédiaires </t>
    </r>
    <r>
      <rPr>
        <i/>
        <sz val="12"/>
        <rFont val="Arial"/>
        <family val="2"/>
      </rPr>
      <t>valable uniquement pour ces 3 tranches</t>
    </r>
    <phoneticPr fontId="45" type="noConversion"/>
  </si>
  <si>
    <t>• Éxecution de la prestation :</t>
    <phoneticPr fontId="50" type="noConversion"/>
  </si>
  <si>
    <t>Seules les cases jaunes et oranges sont personnalisables. Ne pas toucher aux autres !!</t>
  </si>
  <si>
    <t>à renseigner</t>
    <phoneticPr fontId="50" type="noConversion"/>
  </si>
  <si>
    <t>journée de base</t>
  </si>
  <si>
    <t>Location de voiture</t>
    <phoneticPr fontId="50" type="noConversion"/>
  </si>
  <si>
    <t>Train</t>
    <phoneticPr fontId="50" type="noConversion"/>
  </si>
  <si>
    <r>
      <t xml:space="preserve">TVA </t>
    </r>
    <r>
      <rPr>
        <i/>
        <sz val="13"/>
        <color indexed="9"/>
        <rFont val="Calibri"/>
        <family val="2"/>
      </rPr>
      <t>(obligatoire pour les clients de la CEE)</t>
    </r>
    <phoneticPr fontId="50" type="noConversion"/>
  </si>
  <si>
    <t>….</t>
  </si>
  <si>
    <t>Vous pouvez modifiez les cases oranges de base pour les adapter à la diffusion demandée par votre client. La diffusion "print de base" est censée être limitée à un usage de type brochure d'entreprise, mailing, doc techniques, doc de communication... Pour tout autre usage ou extensions à des partenaires il conviendrait de multiplier par 2, 3, 4, 5 ou plus la valeur de référence des cases oranges</t>
  </si>
  <si>
    <t>Valeur de point en euros</t>
    <phoneticPr fontId="50" type="noConversion"/>
  </si>
  <si>
    <t xml:space="preserve">affiché en fraction </t>
    <phoneticPr fontId="50" type="noConversion"/>
  </si>
  <si>
    <t>Personnaliser les cases grises claires et jaunes pour les adapter à votre projet</t>
  </si>
  <si>
    <t>Le client, ayant le choix des contenus rédactionnels auxquels il associe les images, s’interdit tout appel en garantie à l’encontre de l'auteur, en cas de réclamation, recours ou action en dommages intérêts ou autres.</t>
    <phoneticPr fontId="50" type="noConversion"/>
  </si>
  <si>
    <t xml:space="preserve">Les quantités par tranche ainsi que les montants sont à aménager selon vos pratiques professionnelles.
</t>
    <phoneticPr fontId="50" type="noConversion"/>
  </si>
  <si>
    <t>Base</t>
    <phoneticPr fontId="50" type="noConversion"/>
  </si>
  <si>
    <t>Diffusions web sur bandeaux publicitaires avec achat d'espace</t>
    <phoneticPr fontId="50" type="noConversion"/>
  </si>
  <si>
    <t>FOCALE DITE "NORMALE"</t>
  </si>
  <si>
    <t>nbr/d'heure</t>
    <phoneticPr fontId="45" type="noConversion"/>
  </si>
  <si>
    <t xml:space="preserve">moyen </t>
    <phoneticPr fontId="50" type="noConversion"/>
  </si>
  <si>
    <t>Hôtel 3 étoiles Autres villes</t>
    <phoneticPr fontId="50" type="noConversion"/>
  </si>
  <si>
    <t>Column143</t>
  </si>
  <si>
    <t>Column144</t>
  </si>
  <si>
    <t>Indiquez ci-contre le nombre de photos concernées par la cession</t>
    <phoneticPr fontId="50" type="noConversion"/>
  </si>
  <si>
    <t>FR84 322 881 111 0098</t>
    <phoneticPr fontId="50" type="noConversion"/>
  </si>
  <si>
    <t>322 881 111 00098</t>
    <phoneticPr fontId="50" type="noConversion"/>
  </si>
  <si>
    <t>Column124</t>
  </si>
  <si>
    <t>Column200</t>
  </si>
  <si>
    <r>
      <t>Forfait pour</t>
    </r>
    <r>
      <rPr>
        <b/>
        <sz val="16"/>
        <color indexed="9"/>
        <rFont val="Arial"/>
        <family val="2"/>
      </rPr>
      <t xml:space="preserve"> EXPOSITION PERMANENTE</t>
    </r>
    <r>
      <rPr>
        <sz val="16"/>
        <color indexed="9"/>
        <rFont val="Arial"/>
        <family val="2"/>
      </rPr>
      <t xml:space="preserve"> dans les locaux de l'entreprise</t>
    </r>
  </si>
  <si>
    <t xml:space="preserve">Les calculs sont fait en additionnant les montants correspondant à chaque tranche afin d'éviter les effets de seuil à chaque changement de tranche. </t>
    <phoneticPr fontId="50" type="noConversion"/>
  </si>
  <si>
    <t>A titre d'information, n'apparaît pas dans la facture</t>
    <phoneticPr fontId="50" type="noConversion"/>
  </si>
  <si>
    <t>Column87</t>
  </si>
  <si>
    <t>Décompte</t>
    <phoneticPr fontId="50" type="noConversion"/>
  </si>
  <si>
    <t>Mettre un " T " quand elle est terminée</t>
    <phoneticPr fontId="50" type="noConversion"/>
  </si>
  <si>
    <t>Grand angle (équivalent 24mm)</t>
  </si>
  <si>
    <t>Courte focale (équivalent 35 mm)</t>
  </si>
  <si>
    <t>Sonorisation</t>
  </si>
  <si>
    <t>s</t>
    <phoneticPr fontId="50" type="noConversion"/>
  </si>
  <si>
    <t>Focale "portrait" (équivalent 90 mm)</t>
  </si>
  <si>
    <t>PERATEUR</t>
    <phoneticPr fontId="50" type="noConversion"/>
  </si>
  <si>
    <t>Column25</t>
  </si>
  <si>
    <t>Column183</t>
  </si>
  <si>
    <t>Coût unitaire</t>
    <phoneticPr fontId="45" type="noConversion"/>
  </si>
  <si>
    <t>de base</t>
    <phoneticPr fontId="45" type="noConversion"/>
  </si>
  <si>
    <t>Prestation</t>
    <phoneticPr fontId="45" type="noConversion"/>
  </si>
  <si>
    <t>congés payés</t>
    <phoneticPr fontId="50" type="noConversion"/>
  </si>
  <si>
    <t>Column145</t>
  </si>
  <si>
    <t>Column116</t>
  </si>
  <si>
    <t>Column117</t>
  </si>
  <si>
    <t>Column141</t>
  </si>
  <si>
    <t>Coût unitaire à la prise de vue</t>
    <phoneticPr fontId="45" type="noConversion"/>
  </si>
  <si>
    <t>salaire net</t>
    <phoneticPr fontId="45" type="noConversion"/>
  </si>
  <si>
    <t>Comptage</t>
    <phoneticPr fontId="50" type="noConversion"/>
  </si>
  <si>
    <t xml:space="preserve">sauf cas particulier, le sujet n'est jamais collé au mur </t>
  </si>
  <si>
    <t>Column138</t>
  </si>
  <si>
    <t>La signature des conditions générales de cession entraine pour le client l'accord au photographe d'utiliser éventuellement une ou plusieurs photos dans le cadre de sa communication sur son site internet ou ses brochures de présentation. Pour s'opposer à cette possibilité, il appartiendra au client de le préciser au minimum par mail au moment de la signature du devis, ou de façon manuscrite à côté de sa signature sur le présent document.</t>
  </si>
  <si>
    <t>"Coefficient de créativité ou d'intervention" (par défaut 100%)</t>
    <phoneticPr fontId="50" type="noConversion"/>
  </si>
  <si>
    <t>Montant devisé à facturer</t>
    <phoneticPr fontId="50" type="noConversion"/>
  </si>
  <si>
    <t xml:space="preserve">Coût réel </t>
    <phoneticPr fontId="50" type="noConversion"/>
  </si>
  <si>
    <t>Pour remiser</t>
    <phoneticPr fontId="50" type="noConversion"/>
  </si>
  <si>
    <t xml:space="preserve">Le temps de trajet peut être facturé de deux façons, soit en appliquant un % sur le barème km, soit sous forme d'un taux horaire. </t>
    <phoneticPr fontId="45" type="noConversion"/>
  </si>
  <si>
    <r>
      <t xml:space="preserve"> x 2 </t>
    </r>
    <r>
      <rPr>
        <i/>
        <sz val="10"/>
        <color indexed="9"/>
        <rFont val="Arial"/>
        <family val="2"/>
      </rPr>
      <t>du prix de base</t>
    </r>
  </si>
  <si>
    <t>Majoration en cas de diffusion sur des sites tiers (ex. partenaires presse, média, etc…)</t>
  </si>
  <si>
    <t>Le montant de l'achat d'espace peut être communiqué par le client ou estimé sur la base des tarifs moyens pratiqués pour une utilisation identique.</t>
    <phoneticPr fontId="50" type="noConversion"/>
  </si>
  <si>
    <t>x</t>
    <phoneticPr fontId="45" type="noConversion"/>
  </si>
  <si>
    <t>Ajustement plus précis de nombre de photos ou de video par tranche</t>
    <phoneticPr fontId="50" type="noConversion"/>
  </si>
  <si>
    <t>Prix unitaire du détourage</t>
  </si>
  <si>
    <t>Commencer par inscrire le nombre de photographies concernées par l'exposition</t>
    <phoneticPr fontId="50" type="noConversion"/>
  </si>
  <si>
    <t xml:space="preserve">La difficulté est évaluée par rapport au nombre d'objets photographiés en même temps. Une majoration est possible en remplissant la case ci-contre </t>
    <phoneticPr fontId="50" type="noConversion"/>
  </si>
  <si>
    <t>…</t>
    <phoneticPr fontId="45" type="noConversion"/>
  </si>
  <si>
    <t>Calculé sur la valeur moyenne</t>
    <phoneticPr fontId="50" type="noConversion"/>
  </si>
  <si>
    <t>Cochez la case ci-contre si vous êtes ARTISAN à la TVA et que vous souhaitez facturer les droits d'auteur avec une TVA à 10% (par défaut tout sera à 20%)</t>
  </si>
  <si>
    <t xml:space="preserve">Le prix de journée de base est celui que vous avez défini comme prix moyen pour les prises de vue </t>
    <phoneticPr fontId="50" type="noConversion"/>
  </si>
  <si>
    <t>13% des studios sont à :</t>
  </si>
  <si>
    <t>57% des studios sont à :</t>
  </si>
  <si>
    <t>Prix de journée de base sert de référence sur tout le fichier</t>
  </si>
  <si>
    <t>Le photographe pourra faire valoir son droit de retrait, sans préjudice financier, au cas ou le client sortirait la ou les photos du contexte initialement prévu, notamment si les visuels sont utilisés dans un contexte idéologique, religieux ou politique. Le client s'engage donc à prévenir l'auteur au préalable afin de recueillir l'autorisation de publication.</t>
    <phoneticPr fontId="50" type="noConversion"/>
  </si>
  <si>
    <t xml:space="preserve">Les cases jaunes sont toutes modifiables pour s'adapter à votre mode de fonctionnement et vos équipes. Elles seront reportées sur votre devis en l'état. </t>
    <phoneticPr fontId="45" type="noConversion"/>
  </si>
  <si>
    <t>Tranches horaires</t>
  </si>
  <si>
    <t>Par défaut 7h par jour, modifiable (case jaune)</t>
  </si>
  <si>
    <t>diviseur (œuvre de commande en moyenne de 3 à 5)</t>
    <phoneticPr fontId="50" type="noConversion"/>
  </si>
  <si>
    <t>Calculé sur la valeur la plus basse</t>
    <phoneticPr fontId="50" type="noConversion"/>
  </si>
  <si>
    <t>Nombre de dossiers de presse</t>
    <phoneticPr fontId="50" type="noConversion"/>
  </si>
  <si>
    <t>SOFAM</t>
    <phoneticPr fontId="50" type="noConversion"/>
  </si>
  <si>
    <t>UPP 2010</t>
    <phoneticPr fontId="50" type="noConversion"/>
  </si>
  <si>
    <t>ADAGP</t>
    <phoneticPr fontId="50" type="noConversion"/>
  </si>
  <si>
    <t xml:space="preserve">      Détail des frais réels relatifs au moyen de déplacement </t>
    <phoneticPr fontId="50" type="noConversion"/>
  </si>
  <si>
    <t>Péages</t>
    <phoneticPr fontId="50" type="noConversion"/>
  </si>
  <si>
    <t>Les numéros de factures doivent se suivre et ne correspondent pas aux numéros des devis qui peuvent avoir une forme de numérotation différente moins formelle.</t>
  </si>
  <si>
    <r>
      <t xml:space="preserve">N° </t>
    </r>
    <r>
      <rPr>
        <i/>
        <sz val="10"/>
        <rFont val="Arial"/>
        <family val="2"/>
      </rPr>
      <t>Répertoire des Métiers</t>
    </r>
  </si>
  <si>
    <t>Ne peut être ,ni offert, ni remisé</t>
    <phoneticPr fontId="50" type="noConversion"/>
  </si>
  <si>
    <t>Durée</t>
    <phoneticPr fontId="50" type="noConversion"/>
  </si>
  <si>
    <t>Qté en jour</t>
    <phoneticPr fontId="50" type="noConversion"/>
  </si>
  <si>
    <t>pdv d'un 1 objet avec mise en lumière</t>
    <phoneticPr fontId="50" type="noConversion"/>
  </si>
  <si>
    <t>coût additionnel global</t>
    <phoneticPr fontId="50" type="noConversion"/>
  </si>
  <si>
    <t>Valeur de point en euros</t>
    <phoneticPr fontId="50" type="noConversion"/>
  </si>
  <si>
    <r>
      <t xml:space="preserve">METTRE UNE CROIX DEVANT VOTRE STATUT, </t>
    </r>
    <r>
      <rPr>
        <i/>
        <sz val="11"/>
        <color indexed="9"/>
        <rFont val="Calibri"/>
        <family val="2"/>
      </rPr>
      <t>cliquez sur le petit triangle rouge en haut à droite de la case pour des détails</t>
    </r>
  </si>
  <si>
    <t xml:space="preserve">Total du poste </t>
    <phoneticPr fontId="45" type="noConversion"/>
  </si>
  <si>
    <t>Total</t>
    <phoneticPr fontId="45" type="noConversion"/>
  </si>
  <si>
    <t>Nombre d'heures</t>
    <phoneticPr fontId="45" type="noConversion"/>
  </si>
  <si>
    <t>x</t>
    <phoneticPr fontId="45" type="noConversion"/>
  </si>
  <si>
    <t>x</t>
    <phoneticPr fontId="45" type="noConversion"/>
  </si>
  <si>
    <t>Focale longue (équivalent 180 mm)</t>
  </si>
  <si>
    <t>Hôtel 2 étoiles Grandes Villes</t>
    <phoneticPr fontId="50" type="noConversion"/>
  </si>
  <si>
    <r>
      <t xml:space="preserve">Comment évaluer les droits : </t>
    </r>
    <r>
      <rPr>
        <i/>
        <sz val="16"/>
        <color indexed="8"/>
        <rFont val="Arial"/>
        <family val="2"/>
      </rPr>
      <t>Sur internet "visible" ne veut pas dire "vu" d'ou la complexité de l'évaluation des droits. Vous pouvez soit considérer que la durée est celle de la possibilité de mise en ligne ou celle de la durée de l'accès au contenu. On pourrait donc considérer que pour les réseaux la durée à retenir serait de 6 mois et pour les site internet dont la visibilité est plus constante la durée pourrait correspondre à la durée ou la photo figure sur le site. Dans le cas des réseau nous aurions une durée courte et un nombre de visites élevé et dans le cas des sites une durée longue et potentiellement un nombre de visites mensuelles moins élevé (sous réserve d'informations contraires en fonction de votre client).</t>
    </r>
    <phoneticPr fontId="50" type="noConversion"/>
  </si>
  <si>
    <r>
      <t xml:space="preserve">% de l'acompte </t>
    </r>
    <r>
      <rPr>
        <i/>
        <sz val="11"/>
        <rFont val="Arial"/>
        <family val="2"/>
      </rPr>
      <t>(moyenne variable jusqu'à 30% en moyenne)</t>
    </r>
    <phoneticPr fontId="45" type="noConversion"/>
  </si>
  <si>
    <t>Prix de journée</t>
    <phoneticPr fontId="45" type="noConversion"/>
  </si>
  <si>
    <t>Pourcentage supplémentaire pour les imprévus hébergement et transport</t>
    <phoneticPr fontId="50" type="noConversion"/>
  </si>
  <si>
    <t>Forfait km</t>
    <phoneticPr fontId="50" type="noConversion"/>
  </si>
  <si>
    <t>Affichage dans devis-fact en cas d'application d'un critére de modération</t>
    <phoneticPr fontId="50" type="noConversion"/>
  </si>
  <si>
    <t>Conseil personnalisé, coaching</t>
    <phoneticPr fontId="50" type="noConversion"/>
  </si>
  <si>
    <t>Nbre angles pdv/objet (inclus 1ère)</t>
    <phoneticPr fontId="50" type="noConversion"/>
  </si>
  <si>
    <t>retouche remisée</t>
    <phoneticPr fontId="50" type="noConversion"/>
  </si>
  <si>
    <t>La communication et l’utilisation des photographies sont soumises aux dispositions du Code de la Propriété Intellectuelle. La diffusion" print de base" s'entend pour une diffusion limitée sans achat d'espace (brochure, mailing, leaflet, dossier technique ...)</t>
    <phoneticPr fontId="50" type="noConversion"/>
  </si>
  <si>
    <t>Styliste - Accessoiriste</t>
    <phoneticPr fontId="50" type="noConversion"/>
  </si>
  <si>
    <t>Pour ajouter une demi-heure aux blocs de 1,2 et 3 heures</t>
    <phoneticPr fontId="45" type="noConversion"/>
  </si>
  <si>
    <t xml:space="preserve">Hôtel 2 étoiles Autres villes </t>
    <phoneticPr fontId="50" type="noConversion"/>
  </si>
  <si>
    <t>Pour info</t>
    <phoneticPr fontId="50" type="noConversion"/>
  </si>
  <si>
    <t>soit un temps total par personne de :</t>
    <phoneticPr fontId="50" type="noConversion"/>
  </si>
  <si>
    <r>
      <t xml:space="preserve">Forfaits de droits de </t>
    </r>
    <r>
      <rPr>
        <b/>
        <i/>
        <sz val="14"/>
        <rFont val="Arial"/>
        <family val="2"/>
      </rPr>
      <t>VIDÉO de COMMANDE</t>
    </r>
    <r>
      <rPr>
        <i/>
        <sz val="14"/>
        <rFont val="Arial"/>
        <family val="2"/>
      </rPr>
      <t xml:space="preserve"> (vidéo pour une entreprise - facturation de la production/réalisation + droits forfaitaires)</t>
    </r>
  </si>
  <si>
    <t>Total par jour</t>
    <phoneticPr fontId="50" type="noConversion"/>
  </si>
  <si>
    <t>37% des studios sont à :</t>
  </si>
  <si>
    <t xml:space="preserve">Déplacement </t>
    <phoneticPr fontId="45" type="noConversion"/>
  </si>
  <si>
    <t xml:space="preserve">Pour trouver le montant total indiquer le nombre de photo </t>
    <phoneticPr fontId="50" type="noConversion"/>
  </si>
  <si>
    <t xml:space="preserve">Pour un organisme à but non lucratif, indiquez la remise à appliquer </t>
    <phoneticPr fontId="50" type="noConversion"/>
  </si>
  <si>
    <t>TAILLE DE VOTRE CAPTEUR en mm</t>
  </si>
  <si>
    <t>Focale utilisée en mm</t>
  </si>
  <si>
    <t>GAIN ou EQUILIBRE</t>
  </si>
  <si>
    <t>Frais (Accessoires, stylisme,…)</t>
  </si>
  <si>
    <t>Location de studio et option[s]</t>
  </si>
  <si>
    <t>coefficients de minoration quantitatif (modifiables selon vos préférences)</t>
    <phoneticPr fontId="50" type="noConversion"/>
  </si>
  <si>
    <t>Forfait de mise en place</t>
    <phoneticPr fontId="50" type="noConversion"/>
  </si>
  <si>
    <t>Reportage extérieur, architecture</t>
    <phoneticPr fontId="45" type="noConversion"/>
  </si>
  <si>
    <t xml:space="preserve">Reportage évenementiel </t>
    <phoneticPr fontId="45" type="noConversion"/>
  </si>
  <si>
    <t>Reportage corporate dans l'entreprise, architecture intérieure</t>
    <phoneticPr fontId="45" type="noConversion"/>
  </si>
  <si>
    <t>photo de mode en extérieur</t>
    <phoneticPr fontId="45" type="noConversion"/>
  </si>
  <si>
    <t>Photo de mode en studio</t>
    <phoneticPr fontId="45" type="noConversion"/>
  </si>
  <si>
    <t>Look book</t>
    <phoneticPr fontId="45" type="noConversion"/>
  </si>
  <si>
    <t>Labo, autres frais divers,…</t>
  </si>
  <si>
    <t>etc…</t>
    <phoneticPr fontId="45" type="noConversion"/>
  </si>
  <si>
    <r>
      <t xml:space="preserve">N° </t>
    </r>
    <r>
      <rPr>
        <i/>
        <sz val="10"/>
        <rFont val="Arial"/>
        <family val="2"/>
      </rPr>
      <t>Sécurité Sociale</t>
    </r>
  </si>
  <si>
    <t>Prel perso (BNC) / an</t>
    <phoneticPr fontId="50" type="noConversion"/>
  </si>
  <si>
    <t>Column92</t>
  </si>
  <si>
    <t>0h20 = 0,33</t>
    <phoneticPr fontId="45" type="noConversion"/>
  </si>
  <si>
    <t>1h30 = 1,5</t>
    <phoneticPr fontId="45" type="noConversion"/>
  </si>
  <si>
    <t>REMPLIR POUR ACTIVER LES AUTOMATISMES de l'onglet DEVIS-FACT et mettre à jour les CGV</t>
  </si>
  <si>
    <t>indiquez le nombre de jour</t>
    <phoneticPr fontId="50" type="noConversion"/>
  </si>
  <si>
    <t>x</t>
    <phoneticPr fontId="50" type="noConversion"/>
  </si>
  <si>
    <t>Maquillage / coiffeur</t>
    <phoneticPr fontId="50" type="noConversion"/>
  </si>
  <si>
    <t>Prises de vue en composition de type "catalogue"</t>
    <phoneticPr fontId="45" type="noConversion"/>
  </si>
  <si>
    <t>Prises de vue avec recherche créative</t>
    <phoneticPr fontId="45" type="noConversion"/>
  </si>
  <si>
    <t>Ne s'applique que pour le statut  "auteur"</t>
    <phoneticPr fontId="45" type="noConversion"/>
  </si>
  <si>
    <t>Composition des objets sans apport d'accessoires</t>
    <phoneticPr fontId="45" type="noConversion"/>
  </si>
  <si>
    <t>Composition des objets avec stylisme ou préparation particulière (culinaire, bijoux,…)</t>
    <phoneticPr fontId="45" type="noConversion"/>
  </si>
  <si>
    <t>Un ou plusieurs produits sur fond neutre destinés à être détourés dans la majorité des cas</t>
    <phoneticPr fontId="45" type="noConversion"/>
  </si>
  <si>
    <t>Reportage conditions délicates ou dangereuses</t>
    <phoneticPr fontId="45" type="noConversion"/>
  </si>
  <si>
    <t>Si les droits sont cédés sur des œuvres préexistantes vous pouvez l'indiquer dans la case ci-dessus une majoration (personnalisable en moyenne entre 3 et 5 x plus élevé) sur les droits sera appliquée</t>
    <phoneticPr fontId="50" type="noConversion"/>
  </si>
  <si>
    <t>ETUDE POUR CALCUL DROIT DOSSIER DE PRESSE ("PRIERE D'INSERER")</t>
    <phoneticPr fontId="50" type="noConversion"/>
  </si>
  <si>
    <t>MONTANT DES DROITS PHOTO NUMÉRIQUE / WEB</t>
    <phoneticPr fontId="50" type="noConversion"/>
  </si>
  <si>
    <t>Ces prix incluent le calibrage, la post production nécessaire à l'exploitation des fichiers, mais n'incluent pas les retouches de modifications des produits ou traitements des surfaces, entre autres. Dans ce cas la prestation est facturée au taux horaire de la retouche (voir "Temps passé")</t>
    <phoneticPr fontId="50" type="noConversion"/>
  </si>
  <si>
    <t>MONTANT DES DROITS "COMMANDE" VIDÉO NUMÉRIQUE / WEB</t>
    <phoneticPr fontId="50" type="noConversion"/>
  </si>
  <si>
    <t>Mettre un "X" si œuvre de commande</t>
    <phoneticPr fontId="50" type="noConversion"/>
  </si>
  <si>
    <t xml:space="preserve">Faire votre choix en mettant un X </t>
    <phoneticPr fontId="50" type="noConversion"/>
  </si>
  <si>
    <t>Prix par photo pour une durée de 6 mois, quelque soit le format de parution et pour une utilsation commerciale, pour les organismes à but non lucratif il est possible de faire une remise de 20 à 30% du prix annoncé</t>
    <phoneticPr fontId="50" type="noConversion"/>
  </si>
  <si>
    <t>total des photos</t>
    <phoneticPr fontId="50" type="noConversion"/>
  </si>
  <si>
    <t>pu retouche</t>
    <phoneticPr fontId="50" type="noConversion"/>
  </si>
  <si>
    <t>pu pdv</t>
    <phoneticPr fontId="50" type="noConversion"/>
  </si>
  <si>
    <t xml:space="preserve">Détourage </t>
    <phoneticPr fontId="45" type="noConversion"/>
  </si>
  <si>
    <t>Nbr/h/p</t>
    <phoneticPr fontId="50" type="noConversion"/>
  </si>
  <si>
    <t>Vous pouvez afficher des heures en décimales si besoin</t>
    <phoneticPr fontId="45" type="noConversion"/>
  </si>
  <si>
    <t>QUANTITÉ ET FORMAT DES UTILISATIONS</t>
    <phoneticPr fontId="50" type="noConversion"/>
  </si>
  <si>
    <t>Utilisez les pourcentages pour valoriser ou minorer vos prestations en fonction de la difficulté par rapport à votre prix de base (case E8) qui correspond à votre quotidien. Et n'hésitez pas à rédiger des libellés qui correspondent aux particularités de votre activité. Les exemples et indications présentes à l'ouverture du fichier ne doivent pas être considérées comme des normes.</t>
    <phoneticPr fontId="45" type="noConversion"/>
  </si>
  <si>
    <t>Nbr/h/p</t>
  </si>
  <si>
    <t>Ce qui correspond à 3600 euros de droit selon le barème ci-dessus</t>
    <phoneticPr fontId="50" type="noConversion"/>
  </si>
  <si>
    <r>
      <t xml:space="preserve">GRILLE TARIFAIRE PDV PORTRAIT CORPORATE - </t>
    </r>
    <r>
      <rPr>
        <i/>
        <sz val="14"/>
        <color indexed="9"/>
        <rFont val="Arial"/>
        <family val="2"/>
      </rPr>
      <t>© 2019-2020 GPLA/eric delamarre</t>
    </r>
    <phoneticPr fontId="50" type="noConversion"/>
  </si>
  <si>
    <t>x</t>
    <phoneticPr fontId="50" type="noConversion"/>
  </si>
  <si>
    <t>4, rue de l'église</t>
    <phoneticPr fontId="50" type="noConversion"/>
  </si>
  <si>
    <t>GOUPILLIERES</t>
    <phoneticPr fontId="50" type="noConversion"/>
  </si>
  <si>
    <t>Moyenne si plusieurs utilisations</t>
    <phoneticPr fontId="50" type="noConversion"/>
  </si>
  <si>
    <t>pleine page</t>
    <phoneticPr fontId="50" type="noConversion"/>
  </si>
  <si>
    <t>1/2 page</t>
    <phoneticPr fontId="50" type="noConversion"/>
  </si>
  <si>
    <t>1/4 page</t>
    <phoneticPr fontId="50" type="noConversion"/>
  </si>
  <si>
    <t>1/8 page</t>
    <phoneticPr fontId="50" type="noConversion"/>
  </si>
  <si>
    <t>vignette</t>
    <phoneticPr fontId="50" type="noConversion"/>
  </si>
  <si>
    <t>x</t>
    <phoneticPr fontId="50" type="noConversion"/>
  </si>
  <si>
    <r>
      <t xml:space="preserve">GRILLE TARIFAIRE PDV PRODUIT SIMPLE </t>
    </r>
    <r>
      <rPr>
        <sz val="16"/>
        <color indexed="9"/>
        <rFont val="Arial"/>
        <family val="2"/>
      </rPr>
      <t>(Type packshot fond neutre avec ou sans détourage, prix indiqués sans retouche)</t>
    </r>
    <r>
      <rPr>
        <b/>
        <sz val="16"/>
        <color indexed="9"/>
        <rFont val="Arial"/>
        <family val="2"/>
      </rPr>
      <t xml:space="preserve"> -</t>
    </r>
    <r>
      <rPr>
        <b/>
        <sz val="14"/>
        <color indexed="9"/>
        <rFont val="Arial"/>
        <family val="2"/>
      </rPr>
      <t xml:space="preserve"> </t>
    </r>
    <r>
      <rPr>
        <i/>
        <sz val="14"/>
        <color indexed="9"/>
        <rFont val="Arial"/>
        <family val="2"/>
      </rPr>
      <t>© 2019-2020 GPLA/eric delamarre</t>
    </r>
    <phoneticPr fontId="50" type="noConversion"/>
  </si>
  <si>
    <t>RÉMUNERATION FORFAITAIRE DES DROITS D'UTILISATION</t>
    <phoneticPr fontId="50" type="noConversion"/>
  </si>
  <si>
    <t>RETOUCHE &amp; MONTAGE (Travail de modification des fichiers)</t>
    <phoneticPr fontId="50" type="noConversion"/>
  </si>
  <si>
    <t xml:space="preserve">PRISES DE VUE &amp; DÉVELOPPEMENT NUMÉRIQUE </t>
    <phoneticPr fontId="50" type="noConversion"/>
  </si>
  <si>
    <t>P.U. (h, forfait, pdv)</t>
    <phoneticPr fontId="50" type="noConversion"/>
  </si>
  <si>
    <t>P.U. post traitement</t>
    <phoneticPr fontId="50" type="noConversion"/>
  </si>
  <si>
    <t>Taux horaire</t>
    <phoneticPr fontId="50" type="noConversion"/>
  </si>
  <si>
    <t>Quantité</t>
    <phoneticPr fontId="50" type="noConversion"/>
  </si>
  <si>
    <t>Nombre d'œuvre[s]</t>
    <phoneticPr fontId="50" type="noConversion"/>
  </si>
  <si>
    <t>Si vous ne souhaitez pas "valoriser" votre temps de déplacement, il suffit d'indiquer "1" dans la case du ratio de majoration</t>
    <phoneticPr fontId="50" type="noConversion"/>
  </si>
  <si>
    <t>total non remisé</t>
    <phoneticPr fontId="50" type="noConversion"/>
  </si>
  <si>
    <t>montant figurant dans le devis</t>
    <phoneticPr fontId="50" type="noConversion"/>
  </si>
  <si>
    <t>Calculé sur la valeur la plus haute</t>
    <phoneticPr fontId="50" type="noConversion"/>
  </si>
  <si>
    <t>Prix final</t>
    <phoneticPr fontId="50" type="noConversion"/>
  </si>
  <si>
    <t>Pour offrir ces droits mettre un "X"</t>
    <phoneticPr fontId="50" type="noConversion"/>
  </si>
  <si>
    <r>
      <t xml:space="preserve">Si vous souhaitez minorer ou majorer la rémunération artistique globale </t>
    </r>
    <r>
      <rPr>
        <b/>
        <i/>
        <sz val="12"/>
        <color indexed="8"/>
        <rFont val="Arial"/>
        <family val="2"/>
      </rPr>
      <t>(mettre + ou - devant le %)</t>
    </r>
    <phoneticPr fontId="45" type="noConversion"/>
  </si>
  <si>
    <t>Prix de la première pdv (toujours comptée plein tarif) en moyenne entre 150 et 250 €</t>
    <phoneticPr fontId="50" type="noConversion"/>
  </si>
  <si>
    <t xml:space="preserve">A noter que cette grille est inspirée des barèmes cités en références mais comme aucun ne pratique la même unité de calcul… Il ne peut s'agir que d'une libre interprétation </t>
    <phoneticPr fontId="50" type="noConversion"/>
  </si>
  <si>
    <t>Dossier de presse ("prière d'insérer")</t>
    <phoneticPr fontId="50" type="noConversion"/>
  </si>
  <si>
    <t xml:space="preserve">Prix total retouche légère des pdv livrées </t>
    <phoneticPr fontId="50" type="noConversion"/>
  </si>
  <si>
    <t>Montant de l'achat d'espace</t>
    <phoneticPr fontId="50" type="noConversion"/>
  </si>
  <si>
    <t>Mise à jour 2021</t>
  </si>
  <si>
    <t>Le montant de toute prestation modèle doit être vérifié avant d'être communiqué au client, ces montants ne tiennent pas compte des droits à l'image facturés en sus pour la publicité notamment . A noter que les prestations lingerie ou nu sont à majorer de 50 à 100%</t>
  </si>
  <si>
    <t>sur la base du BOI 2021</t>
  </si>
  <si>
    <r>
      <t xml:space="preserve">ÉVALUATION DES INDEMNITÉS KILOMÉTRIQUES 2021 </t>
    </r>
    <r>
      <rPr>
        <i/>
        <sz val="18"/>
        <color indexed="9"/>
        <rFont val="Arial"/>
        <family val="2"/>
      </rPr>
      <t>(applicable en 2022)</t>
    </r>
  </si>
  <si>
    <t>A</t>
  </si>
  <si>
    <t>B</t>
  </si>
  <si>
    <t>C</t>
  </si>
  <si>
    <t>D</t>
  </si>
  <si>
    <t>E</t>
  </si>
  <si>
    <t>Cochez la case correspondant à la tranche horaire choisie</t>
  </si>
  <si>
    <t xml:space="preserve"> ≥ 15 ans</t>
  </si>
  <si>
    <t>≤ 15 ans</t>
  </si>
  <si>
    <t>UNE HEURE</t>
  </si>
  <si>
    <t>DEUX HEURES</t>
  </si>
  <si>
    <t>TROIS HEURES</t>
  </si>
  <si>
    <t>QUATRE HEURES</t>
  </si>
  <si>
    <t>UNE JOURNEE</t>
  </si>
  <si>
    <t>RENSEIGNER</t>
  </si>
  <si>
    <t xml:space="preserve">RÉCAPITULATIF DES DROITS PHOTO NUMÉRIQUE / WEB </t>
  </si>
  <si>
    <t>RÉCAPITULATIF DES DROITS VIDÉO NUMÉRIQUE / WEB</t>
  </si>
  <si>
    <t>Renseigner les différentes options par une "x" pour obtenir un résultat chiffré</t>
  </si>
  <si>
    <t xml:space="preserve">Cochez la case qui correspond à la lettre de la durée </t>
  </si>
  <si>
    <r>
      <t xml:space="preserve">La notion d'unité de temps doit être entendue comme des "unités de tranches horaires". </t>
    </r>
    <r>
      <rPr>
        <b/>
        <sz val="16"/>
        <rFont val="Calibri"/>
        <family val="2"/>
      </rPr>
      <t>Un reportage de 3 heures ne se facture pas 3 x 1 h mais 1 x 3h</t>
    </r>
    <r>
      <rPr>
        <sz val="16"/>
        <rFont val="Calibri"/>
        <family val="2"/>
      </rPr>
      <t xml:space="preserve"> donc en utilisant la lettre qui corespond à la tranche "3 heures", il en est de même pour la journée et la demi-journée.</t>
    </r>
  </si>
  <si>
    <t>Droits  PHOTO  forfaitaires cédés par lots</t>
  </si>
  <si>
    <t xml:space="preserve">L'achat d'espace pour une campagne standard dans le métro en 2020, compter 30 à 40 000 € pour 200 affiches pour 1 semaine </t>
  </si>
  <si>
    <t>Selon le barème des œuvres de commande avec un point à 3 euros cela donne 2160 €</t>
  </si>
  <si>
    <t>Pour les nouvelles utilisations dans des univers virtuels [Metaverse] vous pouvez majorer le prix de la case jaune ci-contre en indiquant le % de majoration (de 50 à 200%)</t>
  </si>
  <si>
    <t>Le pourcentage peut aller jusqu'à 10 % du montant de l'achat d'espace pour les montants inférieurs à 1000 €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</si>
</sst>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0\ &quot;€&quot;_);[Red]\(#,##0\ &quot;€&quot;\)"/>
    <numFmt numFmtId="44" formatCode="_ * #,##0.00_)\ &quot;€&quot;_ ;_ * \(#,##0.00\)\ &quot;€&quot;_ ;_ * &quot;-&quot;??_)\ &quot;€&quot;_ ;_ @_ "/>
    <numFmt numFmtId="164" formatCode="_(&quot;€&quot;* #,##0.00_);_(&quot;€&quot;* \(#,##0.00\);_(&quot;€&quot;* &quot;-&quot;??_);_(@_)"/>
    <numFmt numFmtId="165" formatCode="_(* #,##0.00_);_(* \(#,##0.00\);_(* &quot;-&quot;??_);_(@_)"/>
    <numFmt numFmtId="166" formatCode="#,##0.00&quot;€&quot;;[Red]#,##0.00&quot;€&quot;"/>
    <numFmt numFmtId="167" formatCode="0.000"/>
    <numFmt numFmtId="168" formatCode="#,##0&quot;€&quot;;[Red]#,##0&quot;€&quot;"/>
    <numFmt numFmtId="169" formatCode="d\ mmmm\ yyyy"/>
    <numFmt numFmtId="170" formatCode="_-* #,##0.00&quot; €&quot;_-;\-* #,##0.00&quot; €&quot;_-;_-* &quot;-&quot;??&quot; €&quot;_-;_-@_-"/>
    <numFmt numFmtId="171" formatCode="0#&quot; &quot;##&quot; &quot;##&quot; &quot;##&quot; &quot;##"/>
    <numFmt numFmtId="172" formatCode="_ * #,##0.00_ \ [$€-1]_ ;_ * \-#,##0.00\ \ [$€-1]_ ;_ * &quot;-&quot;??_ \ [$€-1]_ ;_ @_ "/>
    <numFmt numFmtId="173" formatCode="_ * #,##0_ \ [$€-1]_ ;_ * \-#,##0\ \ [$€-1]_ ;_ * &quot;-&quot;_ \ [$€-1]_ ;_ @_ "/>
    <numFmt numFmtId="174" formatCode="_ * #,##0.00_ \ [$€-1]_ ;_ * \-#,##0.00\ \ [$€-1]_ ;_ * &quot;-&quot;_ \ [$€-1]_ ;_ @_ "/>
    <numFmt numFmtId="175" formatCode="#,##0.00_€"/>
    <numFmt numFmtId="176" formatCode="#,##0.00\ &quot;€&quot;;[Red]#,##0.00\ &quot;€&quot;"/>
    <numFmt numFmtId="177" formatCode="0.0"/>
    <numFmt numFmtId="178" formatCode="_-* #,##0&quot;€&quot;_-;\-* #,##0&quot;€&quot;_-;_-* &quot;-&quot;??&quot;€&quot;_-;_-@_-"/>
    <numFmt numFmtId="179" formatCode="#,##0.00&quot;€&quot;"/>
    <numFmt numFmtId="180" formatCode="#,##0.00\ &quot;€&quot;"/>
  </numFmts>
  <fonts count="429">
    <font>
      <sz val="14"/>
      <name val="Arial"/>
      <family val="2"/>
    </font>
    <font>
      <i/>
      <sz val="10"/>
      <name val="Arial"/>
      <family val="2"/>
    </font>
    <font>
      <b/>
      <sz val="10"/>
      <name val="Arial"/>
      <family val="2"/>
    </font>
    <font>
      <i/>
      <sz val="10"/>
      <name val="Arial"/>
      <family val="2"/>
    </font>
    <font>
      <sz val="10"/>
      <name val="Arial"/>
      <family val="2"/>
    </font>
    <font>
      <b/>
      <sz val="10"/>
      <name val="Arial"/>
      <family val="2"/>
    </font>
    <font>
      <i/>
      <sz val="10"/>
      <name val="Arial"/>
      <family val="2"/>
    </font>
    <font>
      <i/>
      <sz val="10"/>
      <name val="Arial"/>
      <family val="2"/>
    </font>
    <font>
      <b/>
      <sz val="10"/>
      <name val="Arial"/>
      <family val="2"/>
    </font>
    <font>
      <i/>
      <sz val="10"/>
      <name val="Arial"/>
      <family val="2"/>
    </font>
    <font>
      <i/>
      <sz val="10"/>
      <name val="Arial"/>
      <family val="2"/>
    </font>
    <font>
      <i/>
      <sz val="10"/>
      <name val="Arial"/>
      <family val="2"/>
    </font>
    <font>
      <i/>
      <sz val="10"/>
      <name val="Arial"/>
      <family val="2"/>
    </font>
    <font>
      <sz val="10"/>
      <name val="Arial"/>
      <family val="2"/>
    </font>
    <font>
      <b/>
      <i/>
      <sz val="10"/>
      <name val="Arial"/>
      <family val="2"/>
    </font>
    <font>
      <b/>
      <sz val="10"/>
      <name val="Arial"/>
      <family val="2"/>
    </font>
    <font>
      <sz val="10"/>
      <name val="Arial"/>
      <family val="2"/>
    </font>
    <font>
      <i/>
      <sz val="10"/>
      <name val="Arial"/>
      <family val="2"/>
    </font>
    <font>
      <b/>
      <i/>
      <sz val="10"/>
      <name val="Arial"/>
      <family val="2"/>
    </font>
    <font>
      <b/>
      <sz val="10"/>
      <name val="Arial"/>
      <family val="2"/>
    </font>
    <font>
      <b/>
      <sz val="10"/>
      <name val="Arial"/>
      <family val="2"/>
    </font>
    <font>
      <i/>
      <sz val="10"/>
      <name val="Arial"/>
      <family val="2"/>
    </font>
    <font>
      <i/>
      <sz val="10"/>
      <name val="Arial"/>
      <family val="2"/>
    </font>
    <font>
      <b/>
      <sz val="10"/>
      <name val="Arial"/>
      <family val="2"/>
    </font>
    <font>
      <i/>
      <sz val="10"/>
      <name val="Arial"/>
      <family val="2"/>
    </font>
    <font>
      <b/>
      <i/>
      <sz val="10"/>
      <name val="Arial"/>
      <family val="2"/>
    </font>
    <font>
      <i/>
      <sz val="10"/>
      <name val="Arial"/>
      <family val="2"/>
    </font>
    <font>
      <b/>
      <sz val="10"/>
      <name val="Arial"/>
      <family val="2"/>
    </font>
    <font>
      <i/>
      <sz val="10"/>
      <name val="Arial"/>
      <family val="2"/>
    </font>
    <font>
      <i/>
      <sz val="10"/>
      <name val="Arial"/>
      <family val="2"/>
    </font>
    <font>
      <i/>
      <sz val="10"/>
      <name val="Arial"/>
      <family val="2"/>
    </font>
    <font>
      <b/>
      <sz val="10"/>
      <name val="Arial"/>
      <family val="2"/>
    </font>
    <font>
      <i/>
      <sz val="10"/>
      <name val="Arial"/>
      <family val="2"/>
    </font>
    <font>
      <b/>
      <sz val="10"/>
      <name val="Arial"/>
      <family val="2"/>
    </font>
    <font>
      <i/>
      <sz val="10"/>
      <name val="Arial"/>
      <family val="2"/>
    </font>
    <font>
      <b/>
      <sz val="10"/>
      <name val="Arial"/>
      <family val="2"/>
    </font>
    <font>
      <sz val="10"/>
      <name val="Arial"/>
      <family val="2"/>
    </font>
    <font>
      <i/>
      <sz val="10"/>
      <name val="Arial"/>
      <family val="2"/>
    </font>
    <font>
      <sz val="10"/>
      <name val="Arial"/>
      <family val="2"/>
    </font>
    <font>
      <b/>
      <sz val="10"/>
      <name val="Arial"/>
      <family val="2"/>
    </font>
    <font>
      <i/>
      <sz val="10"/>
      <name val="Arial"/>
      <family val="2"/>
    </font>
    <font>
      <sz val="10"/>
      <name val="Arial"/>
      <family val="2"/>
    </font>
    <font>
      <sz val="10"/>
      <name val="Arial"/>
      <family val="2"/>
    </font>
    <font>
      <sz val="11"/>
      <color indexed="8"/>
      <name val="Calibri"/>
      <family val="2"/>
    </font>
    <font>
      <b/>
      <sz val="10"/>
      <name val="Arial"/>
      <family val="2"/>
    </font>
    <font>
      <sz val="8"/>
      <name val="Verdana"/>
      <family val="2"/>
    </font>
    <font>
      <sz val="11"/>
      <name val="Calibri"/>
      <family val="2"/>
    </font>
    <font>
      <b/>
      <sz val="11"/>
      <name val="Calibri"/>
      <family val="2"/>
    </font>
    <font>
      <i/>
      <sz val="9"/>
      <color indexed="60"/>
      <name val="Arial"/>
      <family val="2"/>
    </font>
    <font>
      <i/>
      <sz val="9"/>
      <color indexed="8"/>
      <name val="Calibri"/>
      <family val="2"/>
    </font>
    <font>
      <sz val="8"/>
      <name val="Arial"/>
      <family val="2"/>
    </font>
    <font>
      <b/>
      <sz val="12"/>
      <name val="Arial"/>
      <family val="2"/>
    </font>
    <font>
      <sz val="11"/>
      <name val="Arial"/>
      <family val="2"/>
    </font>
    <font>
      <b/>
      <sz val="11"/>
      <name val="Arial"/>
      <family val="2"/>
    </font>
    <font>
      <i/>
      <sz val="10"/>
      <name val="Arial"/>
      <family val="2"/>
    </font>
    <font>
      <i/>
      <sz val="9"/>
      <name val="Arial"/>
      <family val="2"/>
    </font>
    <font>
      <u/>
      <sz val="11"/>
      <name val="Arial"/>
      <family val="2"/>
    </font>
    <font>
      <sz val="10"/>
      <name val="Calibri"/>
      <family val="2"/>
    </font>
    <font>
      <b/>
      <sz val="11"/>
      <color indexed="8"/>
      <name val="Calibri"/>
      <family val="2"/>
    </font>
    <font>
      <sz val="9"/>
      <name val="Arial"/>
      <family val="2"/>
    </font>
    <font>
      <sz val="10"/>
      <name val="Arial"/>
      <family val="2"/>
    </font>
    <font>
      <b/>
      <sz val="9"/>
      <name val="Arial"/>
      <family val="2"/>
    </font>
    <font>
      <i/>
      <sz val="8"/>
      <name val="Arial"/>
      <family val="2"/>
    </font>
    <font>
      <b/>
      <sz val="10"/>
      <color indexed="54"/>
      <name val="Century Gothic"/>
      <family val="1"/>
    </font>
    <font>
      <sz val="12"/>
      <name val="Arial"/>
      <family val="2"/>
    </font>
    <font>
      <b/>
      <sz val="10"/>
      <color indexed="54"/>
      <name val="Verdana"/>
      <family val="2"/>
    </font>
    <font>
      <sz val="7"/>
      <name val="Arial"/>
      <family val="2"/>
    </font>
    <font>
      <sz val="6"/>
      <name val="Arial"/>
      <family val="2"/>
    </font>
    <font>
      <b/>
      <sz val="9"/>
      <color indexed="54"/>
      <name val="Arial"/>
      <family val="2"/>
    </font>
    <font>
      <sz val="12"/>
      <color indexed="9"/>
      <name val="Arial"/>
      <family val="2"/>
    </font>
    <font>
      <b/>
      <sz val="14"/>
      <name val="Arial"/>
      <family val="2"/>
    </font>
    <font>
      <sz val="8"/>
      <color indexed="12"/>
      <name val="Arial"/>
      <family val="2"/>
    </font>
    <font>
      <i/>
      <sz val="10"/>
      <color indexed="8"/>
      <name val="Calibri"/>
      <family val="2"/>
    </font>
    <font>
      <i/>
      <sz val="11"/>
      <color indexed="8"/>
      <name val="Calibri"/>
      <family val="2"/>
    </font>
    <font>
      <i/>
      <sz val="11"/>
      <name val="Calibri"/>
      <family val="2"/>
    </font>
    <font>
      <i/>
      <sz val="10"/>
      <name val="Calibri"/>
      <family val="2"/>
    </font>
    <font>
      <b/>
      <i/>
      <sz val="10"/>
      <name val="Calibri"/>
      <family val="2"/>
    </font>
    <font>
      <b/>
      <sz val="12"/>
      <name val="Calibri"/>
      <family val="2"/>
    </font>
    <font>
      <i/>
      <sz val="11"/>
      <name val="Arial"/>
      <family val="2"/>
    </font>
    <font>
      <b/>
      <sz val="12"/>
      <color indexed="9"/>
      <name val="Arial"/>
      <family val="2"/>
    </font>
    <font>
      <i/>
      <sz val="7"/>
      <name val="Arial"/>
      <family val="2"/>
    </font>
    <font>
      <b/>
      <i/>
      <sz val="11"/>
      <color indexed="9"/>
      <name val="Arial"/>
      <family val="2"/>
    </font>
    <font>
      <sz val="11"/>
      <color indexed="9"/>
      <name val="Arial"/>
      <family val="2"/>
    </font>
    <font>
      <sz val="16"/>
      <name val="Arial"/>
      <family val="2"/>
    </font>
    <font>
      <b/>
      <sz val="16"/>
      <name val="Arial"/>
      <family val="2"/>
    </font>
    <font>
      <sz val="12"/>
      <color indexed="8"/>
      <name val="Calibri"/>
      <family val="2"/>
    </font>
    <font>
      <b/>
      <sz val="14"/>
      <color indexed="8"/>
      <name val="Calibri"/>
      <family val="2"/>
    </font>
    <font>
      <b/>
      <sz val="14"/>
      <color indexed="9"/>
      <name val="Arial"/>
      <family val="2"/>
    </font>
    <font>
      <sz val="10"/>
      <color indexed="9"/>
      <name val="Arial"/>
      <family val="2"/>
    </font>
    <font>
      <sz val="14"/>
      <name val="Calibri"/>
      <family val="2"/>
    </font>
    <font>
      <b/>
      <sz val="14"/>
      <name val="Calibri"/>
      <family val="2"/>
    </font>
    <font>
      <sz val="12"/>
      <name val="Calibri"/>
      <family val="2"/>
    </font>
    <font>
      <sz val="14"/>
      <name val="Arial"/>
      <family val="2"/>
    </font>
    <font>
      <i/>
      <sz val="6"/>
      <color indexed="23"/>
      <name val="Arial"/>
      <family val="2"/>
    </font>
    <font>
      <b/>
      <sz val="18"/>
      <name val="Calibri"/>
      <family val="2"/>
    </font>
    <font>
      <b/>
      <sz val="16"/>
      <name val="Calibri"/>
      <family val="2"/>
    </font>
    <font>
      <i/>
      <sz val="11"/>
      <color indexed="14"/>
      <name val="Arial"/>
      <family val="2"/>
    </font>
    <font>
      <sz val="12"/>
      <name val="Times New Roman"/>
      <family val="1"/>
    </font>
    <font>
      <sz val="11"/>
      <name val="Times New Roman"/>
      <family val="1"/>
    </font>
    <font>
      <b/>
      <sz val="11"/>
      <name val="Times New Roman"/>
      <family val="1"/>
    </font>
    <font>
      <b/>
      <sz val="12"/>
      <color indexed="10"/>
      <name val="Arial"/>
      <family val="2"/>
    </font>
    <font>
      <i/>
      <sz val="8"/>
      <color indexed="55"/>
      <name val="Arial"/>
      <family val="2"/>
    </font>
    <font>
      <u/>
      <sz val="10"/>
      <name val="Arial"/>
      <family val="2"/>
    </font>
    <font>
      <u/>
      <sz val="9"/>
      <color indexed="12"/>
      <name val="Arial"/>
      <family val="2"/>
    </font>
    <font>
      <sz val="9"/>
      <color indexed="12"/>
      <name val="Arial"/>
      <family val="2"/>
    </font>
    <font>
      <u/>
      <sz val="9"/>
      <color indexed="8"/>
      <name val="Arial"/>
      <family val="2"/>
    </font>
    <font>
      <sz val="12"/>
      <color indexed="8"/>
      <name val="Calibri"/>
      <family val="2"/>
    </font>
    <font>
      <sz val="12"/>
      <color indexed="9"/>
      <name val="Calibri"/>
      <family val="2"/>
    </font>
    <font>
      <sz val="12"/>
      <color indexed="14"/>
      <name val="Calibri"/>
      <family val="2"/>
    </font>
    <font>
      <b/>
      <sz val="12"/>
      <color indexed="52"/>
      <name val="Calibri"/>
      <family val="2"/>
    </font>
    <font>
      <b/>
      <sz val="12"/>
      <color indexed="9"/>
      <name val="Calibri"/>
      <family val="2"/>
    </font>
    <font>
      <i/>
      <sz val="12"/>
      <color indexed="23"/>
      <name val="Calibri"/>
      <family val="2"/>
    </font>
    <font>
      <sz val="12"/>
      <color indexed="17"/>
      <name val="Calibri"/>
      <family val="2"/>
    </font>
    <font>
      <b/>
      <sz val="15"/>
      <color indexed="56"/>
      <name val="Calibri"/>
      <family val="2"/>
    </font>
    <font>
      <b/>
      <sz val="13"/>
      <color indexed="56"/>
      <name val="Calibri"/>
      <family val="2"/>
    </font>
    <font>
      <b/>
      <sz val="11"/>
      <color indexed="56"/>
      <name val="Calibri"/>
      <family val="2"/>
    </font>
    <font>
      <sz val="12"/>
      <color indexed="62"/>
      <name val="Calibri"/>
      <family val="2"/>
    </font>
    <font>
      <sz val="12"/>
      <color indexed="52"/>
      <name val="Calibri"/>
      <family val="2"/>
    </font>
    <font>
      <sz val="12"/>
      <color indexed="60"/>
      <name val="Calibri"/>
      <family val="2"/>
    </font>
    <font>
      <b/>
      <sz val="12"/>
      <color indexed="63"/>
      <name val="Calibri"/>
      <family val="2"/>
    </font>
    <font>
      <b/>
      <sz val="18"/>
      <color indexed="56"/>
      <name val="Cambria"/>
      <family val="2"/>
    </font>
    <font>
      <b/>
      <sz val="12"/>
      <color indexed="8"/>
      <name val="Calibri"/>
      <family val="2"/>
    </font>
    <font>
      <sz val="12"/>
      <color indexed="10"/>
      <name val="Calibri"/>
      <family val="2"/>
    </font>
    <font>
      <i/>
      <sz val="12"/>
      <name val="Arial"/>
      <family val="2"/>
    </font>
    <font>
      <sz val="13"/>
      <name val="Arial"/>
      <family val="2"/>
    </font>
    <font>
      <i/>
      <sz val="12"/>
      <color indexed="17"/>
      <name val="Calibri"/>
      <family val="2"/>
    </font>
    <font>
      <i/>
      <sz val="12"/>
      <name val="Calibri"/>
      <family val="2"/>
    </font>
    <font>
      <b/>
      <sz val="13"/>
      <name val="Arial"/>
      <family val="2"/>
    </font>
    <font>
      <sz val="10"/>
      <name val="Interstate-Regular"/>
    </font>
    <font>
      <b/>
      <i/>
      <sz val="12"/>
      <name val="Arial"/>
      <family val="2"/>
    </font>
    <font>
      <i/>
      <sz val="10"/>
      <color indexed="9"/>
      <name val="Arial"/>
      <family val="2"/>
    </font>
    <font>
      <i/>
      <sz val="8"/>
      <color indexed="23"/>
      <name val="Arial"/>
      <family val="2"/>
    </font>
    <font>
      <sz val="16"/>
      <name val="Interstate-Black"/>
    </font>
    <font>
      <i/>
      <sz val="14"/>
      <name val="Calibri"/>
      <family val="2"/>
    </font>
    <font>
      <b/>
      <i/>
      <sz val="14"/>
      <name val="Arial"/>
      <family val="2"/>
    </font>
    <font>
      <i/>
      <sz val="7"/>
      <color indexed="23"/>
      <name val="Arial"/>
      <family val="2"/>
    </font>
    <font>
      <sz val="9"/>
      <color indexed="55"/>
      <name val="Arial"/>
      <family val="2"/>
    </font>
    <font>
      <b/>
      <sz val="13"/>
      <name val="Calibri"/>
      <family val="2"/>
    </font>
    <font>
      <sz val="13"/>
      <name val="Calibri"/>
      <family val="2"/>
    </font>
    <font>
      <sz val="10"/>
      <name val="Helvetica"/>
      <family val="2"/>
    </font>
    <font>
      <sz val="8"/>
      <name val="Helvetica"/>
      <family val="2"/>
    </font>
    <font>
      <b/>
      <sz val="12"/>
      <name val="Helvetica"/>
      <family val="2"/>
    </font>
    <font>
      <b/>
      <sz val="14"/>
      <name val="Helvetica"/>
      <family val="2"/>
    </font>
    <font>
      <b/>
      <sz val="14"/>
      <color indexed="9"/>
      <name val="Helvetica Neue"/>
      <family val="2"/>
    </font>
    <font>
      <sz val="14"/>
      <color indexed="9"/>
      <name val="Helvetica Neue Medium"/>
    </font>
    <font>
      <b/>
      <sz val="14"/>
      <color indexed="8"/>
      <name val="Wingdings 3"/>
      <charset val="2"/>
    </font>
    <font>
      <b/>
      <sz val="12"/>
      <color indexed="56"/>
      <name val="Century Gothic"/>
      <family val="1"/>
    </font>
    <font>
      <sz val="20"/>
      <name val="Arial"/>
      <family val="2"/>
    </font>
    <font>
      <sz val="10"/>
      <color indexed="22"/>
      <name val="Arial"/>
      <family val="2"/>
    </font>
    <font>
      <b/>
      <sz val="11"/>
      <color indexed="9"/>
      <name val="Arial"/>
      <family val="2"/>
    </font>
    <font>
      <sz val="18"/>
      <name val="Arial"/>
      <family val="2"/>
    </font>
    <font>
      <b/>
      <sz val="18"/>
      <name val="Arial"/>
      <family val="2"/>
    </font>
    <font>
      <b/>
      <sz val="16"/>
      <color indexed="9"/>
      <name val="Arial"/>
      <family val="2"/>
    </font>
    <font>
      <i/>
      <sz val="12"/>
      <color indexed="8"/>
      <name val="Calibri"/>
      <family val="2"/>
    </font>
    <font>
      <sz val="9"/>
      <color indexed="9"/>
      <name val="Arial"/>
      <family val="2"/>
    </font>
    <font>
      <i/>
      <sz val="14"/>
      <name val="Arial"/>
      <family val="2"/>
    </font>
    <font>
      <i/>
      <sz val="13"/>
      <color indexed="8"/>
      <name val="Calibri"/>
      <family val="2"/>
    </font>
    <font>
      <b/>
      <sz val="9"/>
      <color indexed="9"/>
      <name val="Arial"/>
      <family val="2"/>
    </font>
    <font>
      <sz val="11"/>
      <color indexed="9"/>
      <name val="Calibri"/>
      <family val="2"/>
    </font>
    <font>
      <b/>
      <sz val="14"/>
      <color indexed="9"/>
      <name val="Calibri"/>
      <family val="2"/>
    </font>
    <font>
      <i/>
      <sz val="12"/>
      <color indexed="9"/>
      <name val="Calibri"/>
      <family val="2"/>
    </font>
    <font>
      <b/>
      <sz val="20"/>
      <color indexed="9"/>
      <name val="Interstate-Regular"/>
    </font>
    <font>
      <b/>
      <sz val="10"/>
      <color indexed="9"/>
      <name val="Arial"/>
      <family val="2"/>
    </font>
    <font>
      <sz val="24"/>
      <name val="Arial"/>
      <family val="2"/>
    </font>
    <font>
      <sz val="10"/>
      <color indexed="55"/>
      <name val="Arial"/>
      <family val="2"/>
    </font>
    <font>
      <sz val="14"/>
      <color indexed="9"/>
      <name val="Calibri"/>
      <family val="2"/>
    </font>
    <font>
      <b/>
      <u/>
      <sz val="14"/>
      <name val="Arial"/>
      <family val="2"/>
    </font>
    <font>
      <i/>
      <sz val="9"/>
      <color indexed="10"/>
      <name val="Arial"/>
      <family val="2"/>
    </font>
    <font>
      <sz val="16"/>
      <color indexed="9"/>
      <name val="Calibri"/>
      <family val="2"/>
    </font>
    <font>
      <b/>
      <sz val="10"/>
      <color indexed="62"/>
      <name val="Arial"/>
      <family val="2"/>
    </font>
    <font>
      <b/>
      <sz val="13"/>
      <color indexed="9"/>
      <name val="Calibri"/>
      <family val="2"/>
    </font>
    <font>
      <b/>
      <i/>
      <sz val="14"/>
      <color indexed="9"/>
      <name val="Calibri"/>
      <family val="2"/>
    </font>
    <font>
      <b/>
      <sz val="11"/>
      <color indexed="9"/>
      <name val="Calibri"/>
      <family val="2"/>
    </font>
    <font>
      <i/>
      <sz val="11"/>
      <color indexed="9"/>
      <name val="Calibri"/>
      <family val="2"/>
    </font>
    <font>
      <b/>
      <sz val="16"/>
      <color indexed="9"/>
      <name val="Calibri"/>
      <family val="2"/>
    </font>
    <font>
      <i/>
      <sz val="13"/>
      <color indexed="9"/>
      <name val="Calibri"/>
      <family val="2"/>
    </font>
    <font>
      <b/>
      <i/>
      <sz val="12"/>
      <color indexed="8"/>
      <name val="Calibri"/>
      <family val="2"/>
    </font>
    <font>
      <b/>
      <sz val="12"/>
      <color indexed="8"/>
      <name val="Arial"/>
      <family val="2"/>
    </font>
    <font>
      <i/>
      <sz val="12"/>
      <color indexed="8"/>
      <name val="Wingdings 3"/>
      <charset val="2"/>
    </font>
    <font>
      <b/>
      <sz val="13"/>
      <color indexed="8"/>
      <name val="Calibri"/>
      <family val="2"/>
    </font>
    <font>
      <u/>
      <sz val="10"/>
      <color indexed="12"/>
      <name val="Arial"/>
      <family val="2"/>
    </font>
    <font>
      <b/>
      <sz val="12"/>
      <color indexed="12"/>
      <name val="Arial"/>
      <family val="2"/>
    </font>
    <font>
      <b/>
      <i/>
      <sz val="10"/>
      <color indexed="9"/>
      <name val="Arial"/>
      <family val="2"/>
    </font>
    <font>
      <sz val="16"/>
      <color indexed="9"/>
      <name val="Arial"/>
      <family val="2"/>
    </font>
    <font>
      <i/>
      <sz val="16"/>
      <color indexed="9"/>
      <name val="Arial"/>
      <family val="2"/>
    </font>
    <font>
      <i/>
      <sz val="16"/>
      <name val="Arial"/>
      <family val="2"/>
    </font>
    <font>
      <b/>
      <i/>
      <sz val="16"/>
      <name val="Arial"/>
      <family val="2"/>
    </font>
    <font>
      <sz val="16"/>
      <color indexed="22"/>
      <name val="Arial"/>
      <family val="2"/>
    </font>
    <font>
      <sz val="10"/>
      <color indexed="8"/>
      <name val="Helvetica Neue"/>
      <family val="2"/>
    </font>
    <font>
      <b/>
      <sz val="10"/>
      <color indexed="8"/>
      <name val="Helvetica Neue"/>
      <family val="2"/>
    </font>
    <font>
      <sz val="12"/>
      <name val="Helvetica"/>
      <family val="2"/>
    </font>
    <font>
      <b/>
      <sz val="11"/>
      <color indexed="23"/>
      <name val="Century Gothic"/>
      <family val="1"/>
    </font>
    <font>
      <b/>
      <sz val="12"/>
      <color indexed="9"/>
      <name val="Helvetica Neue"/>
      <family val="2"/>
    </font>
    <font>
      <i/>
      <sz val="16"/>
      <color indexed="8"/>
      <name val="Calibri"/>
      <family val="2"/>
    </font>
    <font>
      <i/>
      <sz val="16"/>
      <color indexed="9"/>
      <name val="Calibri"/>
      <family val="2"/>
    </font>
    <font>
      <i/>
      <sz val="10"/>
      <color indexed="8"/>
      <name val="Arial"/>
      <family val="2"/>
    </font>
    <font>
      <sz val="12"/>
      <color indexed="9"/>
      <name val="Arial"/>
      <family val="2"/>
    </font>
    <font>
      <sz val="10"/>
      <color indexed="9"/>
      <name val="Arial"/>
      <family val="2"/>
    </font>
    <font>
      <sz val="14"/>
      <color indexed="9"/>
      <name val="Arial"/>
      <family val="2"/>
    </font>
    <font>
      <b/>
      <sz val="12"/>
      <color indexed="8"/>
      <name val="Arial"/>
      <family val="2"/>
    </font>
    <font>
      <sz val="12"/>
      <color indexed="8"/>
      <name val="Arial"/>
      <family val="2"/>
    </font>
    <font>
      <b/>
      <i/>
      <sz val="12"/>
      <color indexed="9"/>
      <name val="Arial"/>
      <family val="2"/>
    </font>
    <font>
      <sz val="14"/>
      <color indexed="22"/>
      <name val="Calibri"/>
      <family val="2"/>
    </font>
    <font>
      <i/>
      <sz val="7"/>
      <color indexed="55"/>
      <name val="Arial"/>
      <family val="2"/>
    </font>
    <font>
      <i/>
      <sz val="8"/>
      <color indexed="9"/>
      <name val="Arial"/>
      <family val="2"/>
    </font>
    <font>
      <sz val="16"/>
      <color indexed="9"/>
      <name val="Interstate-Regular"/>
    </font>
    <font>
      <sz val="24"/>
      <color indexed="9"/>
      <name val="Arial"/>
      <family val="2"/>
    </font>
    <font>
      <i/>
      <sz val="9"/>
      <color indexed="9"/>
      <name val="Arial"/>
      <family val="2"/>
    </font>
    <font>
      <i/>
      <sz val="14"/>
      <color indexed="9"/>
      <name val="Arial"/>
      <family val="2"/>
    </font>
    <font>
      <i/>
      <sz val="16"/>
      <color indexed="8"/>
      <name val="Arial"/>
      <family val="2"/>
    </font>
    <font>
      <sz val="14"/>
      <color indexed="8"/>
      <name val="Calibri"/>
      <family val="2"/>
    </font>
    <font>
      <sz val="14"/>
      <color indexed="81"/>
      <name val="Arial"/>
      <family val="2"/>
    </font>
    <font>
      <i/>
      <sz val="13"/>
      <name val="Calibri"/>
      <family val="2"/>
    </font>
    <font>
      <i/>
      <sz val="13"/>
      <name val="Arial"/>
      <family val="2"/>
    </font>
    <font>
      <i/>
      <sz val="9"/>
      <color indexed="55"/>
      <name val="Arial"/>
      <family val="2"/>
    </font>
    <font>
      <i/>
      <sz val="13"/>
      <color indexed="9"/>
      <name val="Arial"/>
      <family val="2"/>
    </font>
    <font>
      <i/>
      <sz val="11"/>
      <color indexed="9"/>
      <name val="Arial"/>
      <family val="2"/>
    </font>
    <font>
      <b/>
      <sz val="13"/>
      <color indexed="9"/>
      <name val="Arial"/>
      <family val="2"/>
    </font>
    <font>
      <sz val="13"/>
      <color indexed="9"/>
      <name val="Arial"/>
      <family val="2"/>
    </font>
    <font>
      <b/>
      <sz val="14"/>
      <color indexed="23"/>
      <name val="Arial"/>
      <family val="2"/>
    </font>
    <font>
      <b/>
      <sz val="14"/>
      <name val="Wingdings 3"/>
      <charset val="2"/>
    </font>
    <font>
      <u/>
      <sz val="12"/>
      <name val="Arial"/>
      <family val="2"/>
    </font>
    <font>
      <b/>
      <i/>
      <sz val="11"/>
      <name val="Arial"/>
      <family val="2"/>
    </font>
    <font>
      <b/>
      <sz val="14"/>
      <color indexed="8"/>
      <name val="Arial"/>
      <family val="2"/>
    </font>
    <font>
      <b/>
      <vertAlign val="superscript"/>
      <sz val="14"/>
      <color indexed="8"/>
      <name val="Arial"/>
      <family val="2"/>
    </font>
    <font>
      <sz val="9"/>
      <color indexed="8"/>
      <name val="Arial"/>
      <family val="2"/>
    </font>
    <font>
      <sz val="10"/>
      <color indexed="8"/>
      <name val="Arial"/>
      <family val="2"/>
    </font>
    <font>
      <b/>
      <i/>
      <sz val="14"/>
      <color indexed="10"/>
      <name val="Arial"/>
      <family val="2"/>
    </font>
    <font>
      <sz val="12"/>
      <color indexed="81"/>
      <name val="Arial"/>
      <family val="2"/>
    </font>
    <font>
      <i/>
      <sz val="12"/>
      <color indexed="54"/>
      <name val="Arial"/>
      <family val="2"/>
    </font>
    <font>
      <i/>
      <sz val="10"/>
      <color indexed="62"/>
      <name val="Arial"/>
      <family val="2"/>
    </font>
    <font>
      <b/>
      <sz val="14"/>
      <color indexed="54"/>
      <name val="Arial"/>
      <family val="2"/>
    </font>
    <font>
      <i/>
      <sz val="16"/>
      <color indexed="22"/>
      <name val="Arial"/>
      <family val="2"/>
    </font>
    <font>
      <b/>
      <i/>
      <sz val="13"/>
      <name val="Arial"/>
      <family val="2"/>
    </font>
    <font>
      <b/>
      <i/>
      <sz val="18"/>
      <name val="Arial"/>
      <family val="2"/>
    </font>
    <font>
      <b/>
      <sz val="20"/>
      <name val="Arial"/>
      <family val="2"/>
    </font>
    <font>
      <b/>
      <sz val="14"/>
      <name val="Times New Roman"/>
      <family val="1"/>
    </font>
    <font>
      <b/>
      <sz val="14"/>
      <color indexed="23"/>
      <name val="Century Gothic"/>
      <family val="1"/>
    </font>
    <font>
      <i/>
      <sz val="12"/>
      <color indexed="9"/>
      <name val="Arial"/>
      <family val="2"/>
    </font>
    <font>
      <i/>
      <sz val="12"/>
      <color indexed="8"/>
      <name val="Arial"/>
      <family val="2"/>
    </font>
    <font>
      <i/>
      <sz val="10"/>
      <color indexed="55"/>
      <name val="Arial"/>
      <family val="2"/>
    </font>
    <font>
      <b/>
      <sz val="12"/>
      <color indexed="55"/>
      <name val="Arial"/>
      <family val="2"/>
    </font>
    <font>
      <sz val="10"/>
      <name val="Arial"/>
      <family val="2"/>
    </font>
    <font>
      <sz val="28"/>
      <color indexed="8"/>
      <name val="Calibri"/>
      <family val="2"/>
    </font>
    <font>
      <i/>
      <sz val="11"/>
      <color indexed="23"/>
      <name val="Arial"/>
      <family val="2"/>
    </font>
    <font>
      <b/>
      <sz val="12"/>
      <color indexed="22"/>
      <name val="Arial"/>
      <family val="2"/>
    </font>
    <font>
      <b/>
      <sz val="14"/>
      <color indexed="12"/>
      <name val="Calibri"/>
      <family val="2"/>
    </font>
    <font>
      <sz val="9"/>
      <color indexed="8"/>
      <name val="Arial"/>
      <family val="2"/>
    </font>
    <font>
      <sz val="9"/>
      <color indexed="22"/>
      <name val="Arial"/>
      <family val="2"/>
    </font>
    <font>
      <sz val="14"/>
      <color indexed="22"/>
      <name val="Arial"/>
      <family val="2"/>
    </font>
    <font>
      <i/>
      <sz val="18"/>
      <color indexed="9"/>
      <name val="Arial"/>
      <family val="2"/>
    </font>
    <font>
      <b/>
      <sz val="18"/>
      <color indexed="9"/>
      <name val="Arial"/>
      <family val="2"/>
    </font>
    <font>
      <i/>
      <sz val="13"/>
      <color indexed="8"/>
      <name val="Arial"/>
      <family val="2"/>
    </font>
    <font>
      <sz val="14"/>
      <color indexed="8"/>
      <name val="Arial"/>
      <family val="2"/>
    </font>
    <font>
      <i/>
      <sz val="16"/>
      <color indexed="23"/>
      <name val="Arial"/>
      <family val="2"/>
    </font>
    <font>
      <b/>
      <sz val="20"/>
      <name val="Helvetica"/>
      <family val="2"/>
    </font>
    <font>
      <sz val="18"/>
      <color indexed="9"/>
      <name val="Arial"/>
      <family val="2"/>
    </font>
    <font>
      <b/>
      <i/>
      <sz val="16"/>
      <color indexed="9"/>
      <name val="Arial"/>
      <family val="2"/>
    </font>
    <font>
      <b/>
      <sz val="11"/>
      <color indexed="8"/>
      <name val="Arial"/>
      <family val="2"/>
    </font>
    <font>
      <sz val="16"/>
      <color indexed="8"/>
      <name val="Arial"/>
      <family val="2"/>
    </font>
    <font>
      <b/>
      <sz val="16"/>
      <color indexed="63"/>
      <name val="Arial"/>
      <family val="2"/>
    </font>
    <font>
      <sz val="15"/>
      <color indexed="9"/>
      <name val="Arial"/>
      <family val="2"/>
    </font>
    <font>
      <b/>
      <sz val="20"/>
      <color indexed="9"/>
      <name val="Arial"/>
      <family val="2"/>
    </font>
    <font>
      <b/>
      <sz val="16"/>
      <color indexed="8"/>
      <name val="Arial"/>
      <family val="2"/>
    </font>
    <font>
      <i/>
      <sz val="12"/>
      <color indexed="40"/>
      <name val="Arial"/>
      <family val="2"/>
    </font>
    <font>
      <b/>
      <vertAlign val="superscript"/>
      <sz val="12"/>
      <color indexed="9"/>
      <name val="Arial"/>
      <family val="2"/>
    </font>
    <font>
      <sz val="21"/>
      <color indexed="22"/>
      <name val="Arial"/>
      <family val="2"/>
    </font>
    <font>
      <i/>
      <sz val="11"/>
      <name val="Arial"/>
      <family val="2"/>
    </font>
    <font>
      <b/>
      <sz val="14"/>
      <color indexed="8"/>
      <name val="Arial"/>
      <family val="2"/>
    </font>
    <font>
      <sz val="14"/>
      <color indexed="48"/>
      <name val="Arial"/>
      <family val="2"/>
    </font>
    <font>
      <b/>
      <sz val="15"/>
      <color indexed="8"/>
      <name val="Arial"/>
      <family val="2"/>
    </font>
    <font>
      <i/>
      <sz val="15"/>
      <color indexed="8"/>
      <name val="Arial"/>
      <family val="2"/>
    </font>
    <font>
      <sz val="15"/>
      <name val="Arial"/>
      <family val="2"/>
    </font>
    <font>
      <i/>
      <sz val="18"/>
      <name val="Arial"/>
      <family val="2"/>
    </font>
    <font>
      <b/>
      <i/>
      <sz val="18"/>
      <color indexed="8"/>
      <name val="Arial"/>
      <family val="2"/>
    </font>
    <font>
      <b/>
      <sz val="12"/>
      <name val="Arial"/>
      <family val="2"/>
    </font>
    <font>
      <i/>
      <sz val="10"/>
      <name val="Arial"/>
      <family val="2"/>
    </font>
    <font>
      <sz val="17"/>
      <name val="Arial"/>
      <family val="2"/>
    </font>
    <font>
      <sz val="12"/>
      <name val="Arial"/>
      <family val="2"/>
    </font>
    <font>
      <sz val="22"/>
      <name val="Arial"/>
      <family val="2"/>
    </font>
    <font>
      <b/>
      <sz val="22"/>
      <name val="Arial"/>
      <family val="2"/>
    </font>
    <font>
      <b/>
      <sz val="9"/>
      <color indexed="8"/>
      <name val="Arial"/>
      <family val="2"/>
    </font>
    <font>
      <i/>
      <u/>
      <sz val="11"/>
      <name val="Arial"/>
      <family val="2"/>
    </font>
    <font>
      <sz val="10"/>
      <name val="Arial"/>
      <family val="2"/>
    </font>
    <font>
      <sz val="12"/>
      <color indexed="60"/>
      <name val="Arial"/>
      <family val="2"/>
    </font>
    <font>
      <b/>
      <sz val="12"/>
      <color indexed="54"/>
      <name val="Arial"/>
      <family val="2"/>
    </font>
    <font>
      <b/>
      <i/>
      <sz val="14"/>
      <color indexed="9"/>
      <name val="Arial"/>
      <family val="2"/>
    </font>
    <font>
      <sz val="18"/>
      <color indexed="9"/>
      <name val="Arial"/>
      <family val="2"/>
    </font>
    <font>
      <b/>
      <sz val="14"/>
      <color indexed="23"/>
      <name val="Arial"/>
      <family val="2"/>
    </font>
    <font>
      <i/>
      <sz val="15"/>
      <color indexed="9"/>
      <name val="Arial"/>
      <family val="2"/>
    </font>
    <font>
      <sz val="16"/>
      <color indexed="8"/>
      <name val="Arial"/>
      <family val="2"/>
    </font>
    <font>
      <i/>
      <sz val="12"/>
      <color indexed="8"/>
      <name val="Arial"/>
      <family val="2"/>
    </font>
    <font>
      <b/>
      <i/>
      <sz val="12"/>
      <color indexed="8"/>
      <name val="Arial"/>
      <family val="2"/>
    </font>
    <font>
      <i/>
      <sz val="15"/>
      <name val="Arial"/>
      <family val="2"/>
    </font>
    <font>
      <sz val="13"/>
      <color indexed="9"/>
      <name val="Arial"/>
      <family val="2"/>
    </font>
    <font>
      <sz val="14"/>
      <name val="Times New Roman"/>
      <family val="1"/>
    </font>
    <font>
      <sz val="14"/>
      <name val="Times"/>
      <family val="1"/>
    </font>
    <font>
      <b/>
      <i/>
      <sz val="14"/>
      <name val="Times New Roman"/>
      <family val="1"/>
    </font>
    <font>
      <i/>
      <sz val="16"/>
      <color indexed="22"/>
      <name val="Arial"/>
      <family val="2"/>
    </font>
    <font>
      <sz val="9"/>
      <color indexed="22"/>
      <name val="Arial Black"/>
      <family val="2"/>
    </font>
    <font>
      <b/>
      <sz val="10"/>
      <color indexed="22"/>
      <name val="Arial"/>
      <family val="2"/>
    </font>
    <font>
      <b/>
      <sz val="14"/>
      <color indexed="9"/>
      <name val="Arial"/>
      <family val="2"/>
    </font>
    <font>
      <i/>
      <sz val="12"/>
      <color indexed="9"/>
      <name val="Arial"/>
      <family val="2"/>
    </font>
    <font>
      <i/>
      <sz val="12"/>
      <color indexed="54"/>
      <name val="Arial"/>
      <family val="2"/>
    </font>
    <font>
      <b/>
      <sz val="16"/>
      <color indexed="9"/>
      <name val="Arial"/>
      <family val="2"/>
    </font>
    <font>
      <u/>
      <sz val="14"/>
      <color indexed="9"/>
      <name val="Arial"/>
      <family val="2"/>
    </font>
    <font>
      <b/>
      <sz val="13"/>
      <color indexed="48"/>
      <name val="Arial"/>
      <family val="2"/>
    </font>
    <font>
      <b/>
      <sz val="13"/>
      <color indexed="10"/>
      <name val="Arial"/>
      <family val="2"/>
    </font>
    <font>
      <sz val="14"/>
      <color indexed="8"/>
      <name val="Arial"/>
      <family val="2"/>
    </font>
    <font>
      <sz val="10"/>
      <color indexed="8"/>
      <name val="Arial"/>
      <family val="2"/>
    </font>
    <font>
      <sz val="13"/>
      <color indexed="48"/>
      <name val="Arial"/>
      <family val="2"/>
    </font>
    <font>
      <b/>
      <i/>
      <sz val="16"/>
      <color indexed="9"/>
      <name val="Arial"/>
      <family val="2"/>
    </font>
    <font>
      <b/>
      <i/>
      <sz val="12"/>
      <color indexed="9"/>
      <name val="Arial"/>
      <family val="2"/>
    </font>
    <font>
      <b/>
      <sz val="12"/>
      <color indexed="9"/>
      <name val="Arial"/>
      <family val="2"/>
    </font>
    <font>
      <b/>
      <sz val="11"/>
      <color indexed="9"/>
      <name val="Arial"/>
      <family val="2"/>
    </font>
    <font>
      <i/>
      <sz val="12"/>
      <color indexed="8"/>
      <name val="Arial"/>
      <family val="2"/>
    </font>
    <font>
      <sz val="12"/>
      <color indexed="8"/>
      <name val="Arial"/>
      <family val="2"/>
    </font>
    <font>
      <sz val="18"/>
      <color indexed="62"/>
      <name val="Cambria"/>
      <family val="2"/>
    </font>
    <font>
      <b/>
      <sz val="15"/>
      <color indexed="62"/>
      <name val="Calibri"/>
      <family val="2"/>
    </font>
    <font>
      <b/>
      <sz val="13"/>
      <color indexed="62"/>
      <name val="Calibri"/>
      <family val="2"/>
    </font>
    <font>
      <b/>
      <sz val="11"/>
      <color indexed="62"/>
      <name val="Calibri"/>
      <family val="2"/>
    </font>
    <font>
      <sz val="12"/>
      <color indexed="17"/>
      <name val="Calibri"/>
      <family val="2"/>
    </font>
    <font>
      <sz val="12"/>
      <color indexed="14"/>
      <name val="Calibri"/>
      <family val="2"/>
    </font>
    <font>
      <sz val="12"/>
      <color indexed="60"/>
      <name val="Calibri"/>
      <family val="2"/>
    </font>
    <font>
      <sz val="12"/>
      <color indexed="62"/>
      <name val="Calibri"/>
      <family val="2"/>
    </font>
    <font>
      <b/>
      <sz val="12"/>
      <color indexed="63"/>
      <name val="Calibri"/>
      <family val="2"/>
    </font>
    <font>
      <b/>
      <sz val="12"/>
      <color indexed="52"/>
      <name val="Calibri"/>
      <family val="2"/>
    </font>
    <font>
      <sz val="12"/>
      <color indexed="52"/>
      <name val="Calibri"/>
      <family val="2"/>
    </font>
    <font>
      <b/>
      <sz val="12"/>
      <color indexed="9"/>
      <name val="Calibri"/>
      <family val="2"/>
    </font>
    <font>
      <sz val="12"/>
      <color indexed="10"/>
      <name val="Calibri"/>
      <family val="2"/>
    </font>
    <font>
      <i/>
      <sz val="12"/>
      <color indexed="23"/>
      <name val="Calibri"/>
      <family val="2"/>
    </font>
    <font>
      <sz val="12"/>
      <color indexed="8"/>
      <name val="Calibri"/>
      <family val="2"/>
    </font>
    <font>
      <sz val="14"/>
      <color indexed="54"/>
      <name val="Arial"/>
      <family val="2"/>
    </font>
    <font>
      <sz val="10"/>
      <color indexed="54"/>
      <name val="Arial"/>
      <family val="2"/>
    </font>
    <font>
      <b/>
      <sz val="16"/>
      <color indexed="55"/>
      <name val="Arial"/>
      <family val="2"/>
    </font>
    <font>
      <b/>
      <sz val="16"/>
      <color indexed="22"/>
      <name val="Arial"/>
      <family val="2"/>
    </font>
    <font>
      <b/>
      <sz val="14"/>
      <color indexed="22"/>
      <name val="Calibri"/>
      <family val="2"/>
    </font>
    <font>
      <sz val="12"/>
      <color indexed="22"/>
      <name val="Calibri"/>
      <family val="2"/>
    </font>
    <font>
      <b/>
      <sz val="14"/>
      <color indexed="22"/>
      <name val="Arial"/>
      <family val="2"/>
    </font>
    <font>
      <b/>
      <sz val="14"/>
      <color indexed="55"/>
      <name val="Arial"/>
      <family val="2"/>
    </font>
    <font>
      <sz val="22"/>
      <color indexed="55"/>
      <name val="Arial"/>
      <family val="2"/>
    </font>
    <font>
      <b/>
      <sz val="18"/>
      <color indexed="55"/>
      <name val="Arial"/>
      <family val="2"/>
    </font>
    <font>
      <sz val="20"/>
      <color indexed="55"/>
      <name val="Arial"/>
      <family val="2"/>
    </font>
    <font>
      <i/>
      <sz val="17"/>
      <name val="Arial"/>
      <family val="2"/>
    </font>
    <font>
      <sz val="14"/>
      <name val="Arial"/>
      <family val="2"/>
    </font>
    <font>
      <b/>
      <i/>
      <sz val="16"/>
      <color indexed="63"/>
      <name val="Arial"/>
      <family val="2"/>
    </font>
    <font>
      <sz val="12"/>
      <color indexed="22"/>
      <name val="Arial"/>
      <family val="2"/>
    </font>
    <font>
      <i/>
      <sz val="12"/>
      <color indexed="22"/>
      <name val="Arial"/>
      <family val="2"/>
    </font>
    <font>
      <sz val="12"/>
      <color indexed="55"/>
      <name val="Arial"/>
      <family val="2"/>
    </font>
    <font>
      <b/>
      <i/>
      <sz val="17"/>
      <color indexed="8"/>
      <name val="Arial"/>
      <family val="2"/>
    </font>
    <font>
      <i/>
      <sz val="10"/>
      <color indexed="22"/>
      <name val="Arial"/>
      <family val="2"/>
    </font>
    <font>
      <b/>
      <i/>
      <sz val="11"/>
      <color indexed="8"/>
      <name val="Arial"/>
      <family val="2"/>
    </font>
    <font>
      <b/>
      <sz val="26"/>
      <color indexed="22"/>
      <name val="Arial"/>
      <family val="2"/>
    </font>
    <font>
      <b/>
      <sz val="24"/>
      <color indexed="22"/>
      <name val="Arial"/>
      <family val="2"/>
    </font>
    <font>
      <b/>
      <i/>
      <sz val="9"/>
      <color indexed="63"/>
      <name val="Arial"/>
      <family val="2"/>
    </font>
    <font>
      <i/>
      <sz val="9"/>
      <color indexed="63"/>
      <name val="Arial"/>
      <family val="2"/>
    </font>
    <font>
      <i/>
      <sz val="9"/>
      <name val="Arial"/>
      <family val="2"/>
    </font>
    <font>
      <i/>
      <sz val="9"/>
      <color indexed="8"/>
      <name val="Arial"/>
      <family val="2"/>
    </font>
    <font>
      <b/>
      <sz val="12"/>
      <name val="Arial"/>
      <family val="2"/>
    </font>
    <font>
      <sz val="12"/>
      <name val="Arial"/>
      <family val="2"/>
    </font>
    <font>
      <sz val="10"/>
      <color indexed="9"/>
      <name val="Arial"/>
      <family val="2"/>
    </font>
    <font>
      <b/>
      <sz val="12"/>
      <color indexed="9"/>
      <name val="Arial"/>
      <family val="2"/>
    </font>
    <font>
      <sz val="22"/>
      <color indexed="55"/>
      <name val="Arial"/>
      <family val="2"/>
    </font>
    <font>
      <i/>
      <sz val="16"/>
      <color indexed="10"/>
      <name val="Arial"/>
      <family val="2"/>
    </font>
    <font>
      <i/>
      <sz val="16"/>
      <color indexed="55"/>
      <name val="Arial"/>
      <family val="2"/>
    </font>
    <font>
      <b/>
      <i/>
      <sz val="16"/>
      <color indexed="54"/>
      <name val="Arial"/>
      <family val="2"/>
    </font>
    <font>
      <sz val="16"/>
      <name val="Helvetica"/>
      <family val="2"/>
    </font>
    <font>
      <sz val="16"/>
      <color indexed="16"/>
      <name val="Arial"/>
      <family val="2"/>
    </font>
    <font>
      <i/>
      <sz val="16"/>
      <color indexed="8"/>
      <name val="Helvetica"/>
      <family val="2"/>
    </font>
    <font>
      <b/>
      <sz val="16"/>
      <name val="Helvetica"/>
      <family val="2"/>
    </font>
    <font>
      <i/>
      <u/>
      <sz val="16"/>
      <name val="Helvetica"/>
      <family val="2"/>
    </font>
    <font>
      <u/>
      <sz val="16"/>
      <name val="Arial"/>
      <family val="2"/>
    </font>
    <font>
      <u val="singleAccounting"/>
      <sz val="16"/>
      <name val="Helvetica"/>
      <family val="2"/>
    </font>
    <font>
      <i/>
      <sz val="16"/>
      <name val="Helvetica"/>
      <family val="2"/>
    </font>
    <font>
      <sz val="16"/>
      <name val="Calibri"/>
      <family val="2"/>
    </font>
    <font>
      <sz val="16"/>
      <color indexed="8"/>
      <name val="Calibri"/>
      <family val="2"/>
    </font>
    <font>
      <sz val="16"/>
      <color indexed="22"/>
      <name val="Calibri"/>
      <family val="2"/>
    </font>
    <font>
      <i/>
      <sz val="18"/>
      <color indexed="8"/>
      <name val="Calibri"/>
      <family val="2"/>
    </font>
    <font>
      <b/>
      <i/>
      <sz val="18"/>
      <color indexed="8"/>
      <name val="Calibri"/>
      <family val="2"/>
    </font>
    <font>
      <sz val="10"/>
      <color indexed="10"/>
      <name val="Arial"/>
      <family val="2"/>
    </font>
    <font>
      <sz val="12"/>
      <color indexed="10"/>
      <name val="Arial"/>
      <family val="2"/>
    </font>
    <font>
      <sz val="10"/>
      <color indexed="12"/>
      <name val="Arial"/>
      <family val="2"/>
    </font>
    <font>
      <b/>
      <sz val="11"/>
      <color indexed="22"/>
      <name val="Arial"/>
      <family val="2"/>
    </font>
    <font>
      <b/>
      <i/>
      <sz val="16"/>
      <color indexed="8"/>
      <name val="Arial"/>
      <family val="2"/>
    </font>
    <font>
      <b/>
      <i/>
      <sz val="16"/>
      <color indexed="22"/>
      <name val="Arial"/>
      <family val="2"/>
    </font>
    <font>
      <b/>
      <i/>
      <sz val="16"/>
      <color indexed="9"/>
      <name val="Calibri"/>
      <family val="2"/>
    </font>
    <font>
      <b/>
      <sz val="16"/>
      <color indexed="8"/>
      <name val="Calibri"/>
      <family val="2"/>
    </font>
    <font>
      <b/>
      <vertAlign val="superscript"/>
      <sz val="16"/>
      <color indexed="8"/>
      <name val="Calibri"/>
      <family val="2"/>
    </font>
    <font>
      <i/>
      <sz val="16"/>
      <color indexed="13"/>
      <name val="Arial"/>
      <family val="2"/>
    </font>
    <font>
      <i/>
      <sz val="14"/>
      <color indexed="22"/>
      <name val="Arial"/>
      <family val="2"/>
    </font>
    <font>
      <i/>
      <sz val="18"/>
      <color indexed="10"/>
      <name val="Arial"/>
      <family val="2"/>
    </font>
    <font>
      <i/>
      <sz val="18"/>
      <name val="Helvetica"/>
      <family val="2"/>
    </font>
    <font>
      <sz val="18"/>
      <name val="Helvetica"/>
      <family val="2"/>
    </font>
    <font>
      <b/>
      <sz val="18"/>
      <name val="Helvetica"/>
      <family val="2"/>
    </font>
    <font>
      <sz val="18"/>
      <color indexed="10"/>
      <name val="Arial"/>
      <family val="2"/>
    </font>
    <font>
      <i/>
      <sz val="17"/>
      <color indexed="54"/>
      <name val="Arial"/>
      <family val="2"/>
    </font>
    <font>
      <b/>
      <i/>
      <sz val="17"/>
      <color indexed="54"/>
      <name val="Arial"/>
      <family val="2"/>
    </font>
    <font>
      <b/>
      <i/>
      <sz val="17"/>
      <name val="Arial"/>
      <family val="2"/>
    </font>
    <font>
      <i/>
      <sz val="18"/>
      <color indexed="8"/>
      <name val="Arial"/>
      <family val="2"/>
    </font>
    <font>
      <i/>
      <sz val="14"/>
      <color indexed="23"/>
      <name val="Arial"/>
      <family val="2"/>
    </font>
    <font>
      <b/>
      <i/>
      <sz val="13"/>
      <name val="Calibri"/>
      <family val="2"/>
    </font>
    <font>
      <i/>
      <sz val="14"/>
      <color indexed="8"/>
      <name val="Arial"/>
      <family val="2"/>
    </font>
    <font>
      <b/>
      <sz val="16"/>
      <color indexed="9"/>
      <name val="Helvetica"/>
      <family val="2"/>
    </font>
    <font>
      <b/>
      <i/>
      <sz val="18"/>
      <color indexed="9"/>
      <name val="Arial"/>
      <family val="2"/>
    </font>
    <font>
      <b/>
      <i/>
      <sz val="20"/>
      <color indexed="9"/>
      <name val="Arial"/>
      <family val="2"/>
    </font>
    <font>
      <sz val="16"/>
      <color indexed="23"/>
      <name val="Arial"/>
      <family val="2"/>
    </font>
    <font>
      <sz val="11"/>
      <color indexed="23"/>
      <name val="Arial"/>
      <family val="2"/>
    </font>
    <font>
      <b/>
      <sz val="11"/>
      <color indexed="23"/>
      <name val="Arial"/>
      <family val="2"/>
    </font>
    <font>
      <i/>
      <sz val="10"/>
      <color indexed="10"/>
      <name val="Arial"/>
      <family val="2"/>
    </font>
    <font>
      <b/>
      <i/>
      <sz val="10"/>
      <color indexed="10"/>
      <name val="Arial"/>
      <family val="2"/>
    </font>
    <font>
      <b/>
      <sz val="13"/>
      <color indexed="23"/>
      <name val="Arial"/>
      <family val="2"/>
    </font>
    <font>
      <sz val="14"/>
      <color indexed="55"/>
      <name val="Arial"/>
      <family val="2"/>
    </font>
    <font>
      <sz val="13"/>
      <color indexed="8"/>
      <name val="Arial"/>
      <family val="2"/>
    </font>
    <font>
      <sz val="13"/>
      <color indexed="8"/>
      <name val="Calibri"/>
      <family val="2"/>
    </font>
    <font>
      <b/>
      <sz val="18"/>
      <color indexed="56"/>
      <name val="Arial"/>
      <family val="2"/>
    </font>
    <font>
      <i/>
      <sz val="18"/>
      <color indexed="23"/>
      <name val="Arial"/>
      <family val="2"/>
    </font>
    <font>
      <b/>
      <sz val="12"/>
      <color indexed="23"/>
      <name val="Arial"/>
      <family val="2"/>
    </font>
    <font>
      <sz val="12"/>
      <color indexed="23"/>
      <name val="Arial"/>
      <family val="2"/>
    </font>
    <font>
      <sz val="14"/>
      <color indexed="23"/>
      <name val="Arial"/>
      <family val="2"/>
    </font>
    <font>
      <sz val="11"/>
      <color indexed="10"/>
      <name val="Arial"/>
      <family val="2"/>
    </font>
    <font>
      <b/>
      <vertAlign val="superscript"/>
      <sz val="16"/>
      <color indexed="9"/>
      <name val="Arial"/>
      <family val="2"/>
    </font>
    <font>
      <i/>
      <sz val="10"/>
      <name val="Arial"/>
      <family val="2"/>
    </font>
    <font>
      <sz val="11"/>
      <color indexed="9"/>
      <name val="Arial"/>
      <family val="2"/>
    </font>
    <font>
      <b/>
      <sz val="16"/>
      <color theme="0"/>
      <name val="Arial"/>
      <family val="2"/>
    </font>
    <font>
      <b/>
      <sz val="9"/>
      <color rgb="FF000000"/>
      <name val="Arial"/>
      <family val="2"/>
    </font>
    <font>
      <b/>
      <i/>
      <sz val="12"/>
      <name val="Calibri"/>
      <family val="2"/>
    </font>
    <font>
      <b/>
      <sz val="22"/>
      <color rgb="FFFFFFFF"/>
      <name val="Interstate-Regular"/>
    </font>
    <font>
      <sz val="11"/>
      <color theme="0" tint="-0.249977111117893"/>
      <name val="Arial"/>
      <family val="2"/>
    </font>
    <font>
      <b/>
      <sz val="11"/>
      <color theme="0" tint="-0.249977111117893"/>
      <name val="Arial"/>
      <family val="2"/>
    </font>
  </fonts>
  <fills count="65">
    <fill>
      <patternFill patternType="none"/>
    </fill>
    <fill>
      <patternFill patternType="gray125"/>
    </fill>
    <fill>
      <patternFill patternType="solid">
        <fgColor indexed="54"/>
        <bgColor indexed="64"/>
      </patternFill>
    </fill>
    <fill>
      <patternFill patternType="solid">
        <fgColor indexed="62"/>
        <bgColor indexed="64"/>
      </patternFill>
    </fill>
    <fill>
      <patternFill patternType="solid">
        <fgColor indexed="10"/>
        <bgColor indexed="64"/>
      </patternFill>
    </fill>
    <fill>
      <patternFill patternType="solid">
        <fgColor indexed="44"/>
        <bgColor indexed="64"/>
      </patternFill>
    </fill>
    <fill>
      <patternFill patternType="solid">
        <fgColor indexed="22"/>
        <bgColor indexed="64"/>
      </patternFill>
    </fill>
    <fill>
      <patternFill patternType="solid">
        <fgColor indexed="51"/>
        <bgColor indexed="64"/>
      </patternFill>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indexed="23"/>
        <bgColor indexed="64"/>
      </patternFill>
    </fill>
    <fill>
      <patternFill patternType="solid">
        <fgColor indexed="55"/>
        <bgColor indexed="64"/>
      </patternFill>
    </fill>
    <fill>
      <patternFill patternType="solid">
        <fgColor indexed="13"/>
        <bgColor indexed="64"/>
      </patternFill>
    </fill>
    <fill>
      <patternFill patternType="solid">
        <fgColor indexed="54"/>
        <bgColor indexed="22"/>
      </patternFill>
    </fill>
    <fill>
      <patternFill patternType="solid">
        <fgColor indexed="52"/>
        <bgColor indexed="64"/>
      </patternFill>
    </fill>
    <fill>
      <patternFill patternType="solid">
        <fgColor indexed="49"/>
        <bgColor indexed="64"/>
      </patternFill>
    </fill>
    <fill>
      <patternFill patternType="solid">
        <fgColor indexed="22"/>
        <bgColor indexed="22"/>
      </patternFill>
    </fill>
    <fill>
      <patternFill patternType="solid">
        <fgColor indexed="8"/>
        <bgColor indexed="64"/>
      </patternFill>
    </fill>
    <fill>
      <patternFill patternType="solid">
        <fgColor indexed="9"/>
      </patternFill>
    </fill>
    <fill>
      <patternFill patternType="solid">
        <fgColor indexed="47"/>
      </patternFill>
    </fill>
    <fill>
      <patternFill patternType="solid">
        <fgColor indexed="31"/>
      </patternFill>
    </fill>
    <fill>
      <patternFill patternType="solid">
        <fgColor indexed="41"/>
      </patternFill>
    </fill>
    <fill>
      <patternFill patternType="solid">
        <fgColor indexed="22"/>
      </patternFill>
    </fill>
    <fill>
      <patternFill patternType="solid">
        <fgColor indexed="44"/>
      </patternFill>
    </fill>
    <fill>
      <patternFill patternType="solid">
        <fgColor indexed="46"/>
      </patternFill>
    </fill>
    <fill>
      <patternFill patternType="solid">
        <fgColor indexed="51"/>
      </patternFill>
    </fill>
    <fill>
      <patternFill patternType="solid">
        <fgColor indexed="49"/>
      </patternFill>
    </fill>
    <fill>
      <patternFill patternType="solid">
        <fgColor indexed="29"/>
      </patternFill>
    </fill>
    <fill>
      <patternFill patternType="solid">
        <fgColor indexed="30"/>
      </patternFill>
    </fill>
    <fill>
      <patternFill patternType="solid">
        <fgColor indexed="62"/>
      </patternFill>
    </fill>
    <fill>
      <patternFill patternType="solid">
        <fgColor indexed="19"/>
      </patternFill>
    </fill>
    <fill>
      <patternFill patternType="solid">
        <fgColor indexed="36"/>
      </patternFill>
    </fill>
    <fill>
      <patternFill patternType="solid">
        <fgColor indexed="45"/>
      </patternFill>
    </fill>
    <fill>
      <patternFill patternType="solid">
        <fgColor indexed="55"/>
      </patternFill>
    </fill>
    <fill>
      <patternFill patternType="solid">
        <fgColor indexed="42"/>
      </patternFill>
    </fill>
    <fill>
      <patternFill patternType="solid">
        <fgColor indexed="26"/>
      </patternFill>
    </fill>
    <fill>
      <patternFill patternType="solid">
        <fgColor indexed="43"/>
      </patternFill>
    </fill>
    <fill>
      <patternFill patternType="lightDown">
        <fgColor indexed="22"/>
        <bgColor indexed="43"/>
      </patternFill>
    </fill>
    <fill>
      <patternFill patternType="mediumGray">
        <fgColor indexed="9"/>
        <bgColor indexed="22"/>
      </patternFill>
    </fill>
    <fill>
      <patternFill patternType="mediumGray">
        <fgColor indexed="9"/>
        <bgColor indexed="54"/>
      </patternFill>
    </fill>
    <fill>
      <patternFill patternType="mediumGray">
        <fgColor indexed="9"/>
      </patternFill>
    </fill>
    <fill>
      <patternFill patternType="solid">
        <fgColor indexed="12"/>
        <bgColor indexed="64"/>
      </patternFill>
    </fill>
    <fill>
      <patternFill patternType="lightUp">
        <fgColor indexed="9"/>
        <bgColor indexed="22"/>
      </patternFill>
    </fill>
    <fill>
      <patternFill patternType="lightUp">
        <fgColor indexed="55"/>
      </patternFill>
    </fill>
    <fill>
      <patternFill patternType="mediumGray">
        <fgColor indexed="22"/>
      </patternFill>
    </fill>
    <fill>
      <patternFill patternType="lightGray">
        <fgColor indexed="8"/>
        <bgColor indexed="23"/>
      </patternFill>
    </fill>
    <fill>
      <patternFill patternType="mediumGray">
        <fgColor indexed="8"/>
        <bgColor indexed="55"/>
      </patternFill>
    </fill>
    <fill>
      <patternFill patternType="lightUp">
        <fgColor indexed="55"/>
        <bgColor indexed="9"/>
      </patternFill>
    </fill>
    <fill>
      <patternFill patternType="solid">
        <fgColor indexed="22"/>
        <bgColor indexed="9"/>
      </patternFill>
    </fill>
    <fill>
      <patternFill patternType="solid">
        <fgColor indexed="22"/>
        <bgColor indexed="23"/>
      </patternFill>
    </fill>
    <fill>
      <patternFill patternType="lightDown">
        <fgColor indexed="55"/>
        <bgColor indexed="43"/>
      </patternFill>
    </fill>
    <fill>
      <patternFill patternType="mediumGray">
        <fgColor indexed="8"/>
        <bgColor indexed="22"/>
      </patternFill>
    </fill>
    <fill>
      <patternFill patternType="solid">
        <fgColor indexed="43"/>
        <bgColor indexed="22"/>
      </patternFill>
    </fill>
    <fill>
      <patternFill patternType="solid">
        <fgColor indexed="55"/>
        <bgColor indexed="22"/>
      </patternFill>
    </fill>
    <fill>
      <patternFill patternType="solid">
        <fgColor indexed="43"/>
        <bgColor indexed="52"/>
      </patternFill>
    </fill>
    <fill>
      <patternFill patternType="solid">
        <fgColor indexed="9"/>
        <bgColor indexed="22"/>
      </patternFill>
    </fill>
    <fill>
      <patternFill patternType="solid">
        <fgColor indexed="13"/>
        <bgColor indexed="22"/>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8" tint="-0.249977111117893"/>
        <bgColor indexed="64"/>
      </patternFill>
    </fill>
  </fills>
  <borders count="391">
    <border>
      <left/>
      <right/>
      <top/>
      <bottom/>
      <diagonal/>
    </border>
    <border>
      <left/>
      <right/>
      <top/>
      <bottom style="thin">
        <color indexed="9"/>
      </bottom>
      <diagonal/>
    </border>
    <border>
      <left/>
      <right/>
      <top style="thin">
        <color indexed="9"/>
      </top>
      <bottom style="thin">
        <color indexed="9"/>
      </bottom>
      <diagonal/>
    </border>
    <border>
      <left/>
      <right/>
      <top style="thin">
        <color indexed="9"/>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top/>
      <bottom style="double">
        <color indexed="54"/>
      </bottom>
      <diagonal/>
    </border>
    <border>
      <left style="thin">
        <color indexed="22"/>
      </left>
      <right style="thin">
        <color indexed="22"/>
      </right>
      <top style="thin">
        <color indexed="22"/>
      </top>
      <bottom style="thin">
        <color indexed="22"/>
      </bottom>
      <diagonal/>
    </border>
    <border>
      <left/>
      <right/>
      <top/>
      <bottom style="thin">
        <color indexed="54"/>
      </bottom>
      <diagonal/>
    </border>
    <border>
      <left style="thick">
        <color indexed="9"/>
      </left>
      <right style="thick">
        <color indexed="9"/>
      </right>
      <top/>
      <bottom style="thin">
        <color indexed="54"/>
      </bottom>
      <diagonal/>
    </border>
    <border>
      <left/>
      <right style="hair">
        <color indexed="22"/>
      </right>
      <top style="thin">
        <color indexed="22"/>
      </top>
      <bottom/>
      <diagonal/>
    </border>
    <border>
      <left style="hair">
        <color indexed="22"/>
      </left>
      <right style="hair">
        <color indexed="22"/>
      </right>
      <top/>
      <bottom/>
      <diagonal/>
    </border>
    <border>
      <left style="hair">
        <color indexed="22"/>
      </left>
      <right/>
      <top/>
      <bottom/>
      <diagonal/>
    </border>
    <border>
      <left/>
      <right style="hair">
        <color indexed="22"/>
      </right>
      <top/>
      <bottom/>
      <diagonal/>
    </border>
    <border>
      <left style="hair">
        <color indexed="22"/>
      </left>
      <right style="hair">
        <color indexed="22"/>
      </right>
      <top style="thin">
        <color indexed="22"/>
      </top>
      <bottom/>
      <diagonal/>
    </border>
    <border>
      <left style="thick">
        <color indexed="9"/>
      </left>
      <right/>
      <top/>
      <bottom style="thin">
        <color indexed="54"/>
      </bottom>
      <diagonal/>
    </border>
    <border>
      <left style="hair">
        <color indexed="22"/>
      </left>
      <right/>
      <top/>
      <bottom style="hair">
        <color indexed="22"/>
      </bottom>
      <diagonal/>
    </border>
    <border>
      <left/>
      <right style="hair">
        <color indexed="22"/>
      </right>
      <top/>
      <bottom style="hair">
        <color indexed="22"/>
      </bottom>
      <diagonal/>
    </border>
    <border>
      <left/>
      <right/>
      <top style="thin">
        <color indexed="54"/>
      </top>
      <bottom/>
      <diagonal/>
    </border>
    <border>
      <left style="hair">
        <color indexed="22"/>
      </left>
      <right/>
      <top style="hair">
        <color indexed="22"/>
      </top>
      <bottom/>
      <diagonal/>
    </border>
    <border>
      <left/>
      <right style="hair">
        <color indexed="22"/>
      </right>
      <top style="hair">
        <color indexed="22"/>
      </top>
      <bottom/>
      <diagonal/>
    </border>
    <border>
      <left/>
      <right style="thick">
        <color indexed="9"/>
      </right>
      <top/>
      <bottom/>
      <diagonal/>
    </border>
    <border>
      <left style="thin">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thin">
        <color indexed="9"/>
      </left>
      <right style="thin">
        <color indexed="64"/>
      </right>
      <top style="thin">
        <color indexed="9"/>
      </top>
      <bottom style="thin">
        <color indexed="9"/>
      </bottom>
      <diagonal/>
    </border>
    <border>
      <left style="double">
        <color indexed="64"/>
      </left>
      <right/>
      <top/>
      <bottom style="thin">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double">
        <color indexed="64"/>
      </left>
      <right/>
      <top style="double">
        <color indexed="64"/>
      </top>
      <bottom style="dashed">
        <color indexed="64"/>
      </bottom>
      <diagonal/>
    </border>
    <border>
      <left/>
      <right style="double">
        <color indexed="64"/>
      </right>
      <top style="double">
        <color indexed="64"/>
      </top>
      <bottom style="dashed">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diagonal/>
    </border>
    <border>
      <left style="medium">
        <color indexed="64"/>
      </left>
      <right style="thin">
        <color indexed="64"/>
      </right>
      <top/>
      <bottom/>
      <diagonal/>
    </border>
    <border>
      <left style="double">
        <color indexed="64"/>
      </left>
      <right/>
      <top style="dashed">
        <color indexed="64"/>
      </top>
      <bottom style="double">
        <color indexed="64"/>
      </bottom>
      <diagonal/>
    </border>
    <border>
      <left/>
      <right style="double">
        <color indexed="64"/>
      </right>
      <top style="dashed">
        <color indexed="64"/>
      </top>
      <bottom style="double">
        <color indexed="64"/>
      </bottom>
      <diagonal/>
    </border>
    <border>
      <left style="double">
        <color indexed="64"/>
      </left>
      <right/>
      <top/>
      <bottom style="dashed">
        <color indexed="64"/>
      </bottom>
      <diagonal/>
    </border>
    <border>
      <left/>
      <right style="double">
        <color indexed="64"/>
      </right>
      <top/>
      <bottom style="dashed">
        <color indexed="64"/>
      </bottom>
      <diagonal/>
    </border>
    <border>
      <left style="thin">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double">
        <color indexed="64"/>
      </right>
      <top style="thin">
        <color indexed="64"/>
      </top>
      <bottom/>
      <diagonal/>
    </border>
    <border>
      <left style="double">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ck">
        <color indexed="64"/>
      </left>
      <right/>
      <top style="double">
        <color indexed="64"/>
      </top>
      <bottom/>
      <diagonal/>
    </border>
    <border>
      <left/>
      <right/>
      <top style="double">
        <color indexed="64"/>
      </top>
      <bottom/>
      <diagonal/>
    </border>
    <border>
      <left/>
      <right style="thick">
        <color indexed="64"/>
      </right>
      <top style="double">
        <color indexed="64"/>
      </top>
      <bottom/>
      <diagonal/>
    </border>
    <border>
      <left style="double">
        <color indexed="64"/>
      </left>
      <right style="medium">
        <color indexed="64"/>
      </right>
      <top/>
      <bottom style="medium">
        <color indexed="64"/>
      </bottom>
      <diagonal/>
    </border>
    <border>
      <left style="medium">
        <color indexed="64"/>
      </left>
      <right style="medium">
        <color indexed="64"/>
      </right>
      <top/>
      <bottom/>
      <diagonal/>
    </border>
    <border>
      <left/>
      <right style="double">
        <color indexed="64"/>
      </right>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double">
        <color indexed="64"/>
      </right>
      <top/>
      <bottom style="thin">
        <color indexed="64"/>
      </bottom>
      <diagonal/>
    </border>
    <border>
      <left style="double">
        <color indexed="64"/>
      </left>
      <right style="double">
        <color indexed="64"/>
      </right>
      <top/>
      <bottom style="medium">
        <color indexed="64"/>
      </bottom>
      <diagonal/>
    </border>
    <border>
      <left style="double">
        <color indexed="64"/>
      </left>
      <right/>
      <top/>
      <bottom/>
      <diagonal/>
    </border>
    <border>
      <left style="medium">
        <color indexed="64"/>
      </left>
      <right style="medium">
        <color indexed="64"/>
      </right>
      <top/>
      <bottom style="medium">
        <color indexed="64"/>
      </bottom>
      <diagonal/>
    </border>
    <border>
      <left style="medium">
        <color indexed="64"/>
      </left>
      <right style="double">
        <color indexed="64"/>
      </right>
      <top style="medium">
        <color indexed="64"/>
      </top>
      <bottom style="hair">
        <color indexed="64"/>
      </bottom>
      <diagonal/>
    </border>
    <border>
      <left style="double">
        <color indexed="64"/>
      </left>
      <right style="double">
        <color indexed="64"/>
      </right>
      <top style="medium">
        <color indexed="64"/>
      </top>
      <bottom style="hair">
        <color indexed="64"/>
      </bottom>
      <diagonal/>
    </border>
    <border>
      <left style="double">
        <color indexed="64"/>
      </left>
      <right style="medium">
        <color indexed="64"/>
      </right>
      <top style="medium">
        <color indexed="64"/>
      </top>
      <bottom style="hair">
        <color indexed="64"/>
      </bottom>
      <diagonal/>
    </border>
    <border>
      <left/>
      <right style="double">
        <color indexed="64"/>
      </right>
      <top/>
      <bottom/>
      <diagonal/>
    </border>
    <border>
      <left/>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right style="double">
        <color indexed="64"/>
      </right>
      <top style="medium">
        <color indexed="64"/>
      </top>
      <bottom style="hair">
        <color indexed="64"/>
      </bottom>
      <diagonal/>
    </border>
    <border>
      <left/>
      <right/>
      <top style="hair">
        <color indexed="64"/>
      </top>
      <bottom style="medium">
        <color indexed="52"/>
      </bottom>
      <diagonal/>
    </border>
    <border>
      <left/>
      <right/>
      <top/>
      <bottom style="medium">
        <color indexed="52"/>
      </bottom>
      <diagonal/>
    </border>
    <border>
      <left style="thin">
        <color indexed="64"/>
      </left>
      <right/>
      <top/>
      <bottom style="hair">
        <color indexed="64"/>
      </bottom>
      <diagonal/>
    </border>
    <border>
      <left style="medium">
        <color indexed="64"/>
      </left>
      <right style="double">
        <color indexed="64"/>
      </right>
      <top/>
      <bottom style="hair">
        <color indexed="64"/>
      </bottom>
      <diagonal/>
    </border>
    <border>
      <left/>
      <right/>
      <top/>
      <bottom style="hair">
        <color indexed="64"/>
      </bottom>
      <diagonal/>
    </border>
    <border>
      <left style="double">
        <color indexed="64"/>
      </left>
      <right style="medium">
        <color indexed="64"/>
      </right>
      <top style="hair">
        <color indexed="64"/>
      </top>
      <bottom style="hair">
        <color indexed="64"/>
      </bottom>
      <diagonal/>
    </border>
    <border>
      <left style="medium">
        <color indexed="64"/>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double">
        <color indexed="64"/>
      </right>
      <top style="hair">
        <color indexed="64"/>
      </top>
      <bottom style="hair">
        <color indexed="64"/>
      </bottom>
      <diagonal/>
    </border>
    <border>
      <left style="thin">
        <color indexed="64"/>
      </left>
      <right style="thin">
        <color indexed="64"/>
      </right>
      <top style="hair">
        <color indexed="64"/>
      </top>
      <bottom/>
      <diagonal/>
    </border>
    <border>
      <left style="double">
        <color indexed="64"/>
      </left>
      <right style="medium">
        <color indexed="64"/>
      </right>
      <top style="hair">
        <color indexed="64"/>
      </top>
      <bottom style="thin">
        <color indexed="64"/>
      </bottom>
      <diagonal/>
    </border>
    <border>
      <left style="medium">
        <color indexed="64"/>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top style="medium">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style="thin">
        <color indexed="64"/>
      </right>
      <top/>
      <bottom/>
      <diagonal/>
    </border>
    <border>
      <left style="thick">
        <color indexed="64"/>
      </left>
      <right style="thick">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hair">
        <color indexed="64"/>
      </bottom>
      <diagonal/>
    </border>
    <border>
      <left style="thick">
        <color indexed="64"/>
      </left>
      <right style="thick">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ck">
        <color indexed="64"/>
      </left>
      <right style="thick">
        <color indexed="64"/>
      </right>
      <top/>
      <bottom style="thick">
        <color indexed="64"/>
      </bottom>
      <diagonal/>
    </border>
    <border>
      <left/>
      <right style="thin">
        <color indexed="64"/>
      </right>
      <top style="thick">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bottom style="thick">
        <color indexed="64"/>
      </bottom>
      <diagonal/>
    </border>
    <border>
      <left/>
      <right style="medium">
        <color indexed="64"/>
      </right>
      <top/>
      <bottom style="thick">
        <color indexed="64"/>
      </bottom>
      <diagonal/>
    </border>
    <border>
      <left style="thick">
        <color indexed="64"/>
      </left>
      <right style="thick">
        <color indexed="64"/>
      </right>
      <top style="thick">
        <color indexed="64"/>
      </top>
      <bottom/>
      <diagonal/>
    </border>
    <border>
      <left style="thick">
        <color indexed="64"/>
      </left>
      <right style="thick">
        <color indexed="64"/>
      </right>
      <top style="thin">
        <color indexed="64"/>
      </top>
      <bottom/>
      <diagonal/>
    </border>
    <border>
      <left style="thin">
        <color indexed="64"/>
      </left>
      <right style="thick">
        <color indexed="64"/>
      </right>
      <top style="thin">
        <color indexed="64"/>
      </top>
      <bottom/>
      <diagonal/>
    </border>
    <border>
      <left style="thick">
        <color indexed="64"/>
      </left>
      <right style="thick">
        <color indexed="64"/>
      </right>
      <top/>
      <bottom style="thin">
        <color indexed="64"/>
      </bottom>
      <diagonal/>
    </border>
    <border>
      <left style="thin">
        <color indexed="64"/>
      </left>
      <right style="thick">
        <color indexed="64"/>
      </right>
      <top/>
      <bottom style="thin">
        <color indexed="64"/>
      </bottom>
      <diagonal/>
    </border>
    <border>
      <left style="thick">
        <color indexed="64"/>
      </left>
      <right style="thick">
        <color indexed="64"/>
      </right>
      <top style="thin">
        <color indexed="64"/>
      </top>
      <bottom style="thick">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bottom/>
      <diagonal/>
    </border>
    <border>
      <left/>
      <right style="thick">
        <color indexed="64"/>
      </right>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medium">
        <color indexed="64"/>
      </top>
      <bottom style="thin">
        <color indexed="64"/>
      </bottom>
      <diagonal/>
    </border>
    <border>
      <left style="thick">
        <color indexed="64"/>
      </left>
      <right style="medium">
        <color indexed="64"/>
      </right>
      <top/>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medium">
        <color indexed="64"/>
      </right>
      <top/>
      <bottom style="thick">
        <color indexed="64"/>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ck">
        <color indexed="64"/>
      </top>
      <bottom/>
      <diagonal/>
    </border>
    <border>
      <left/>
      <right/>
      <top style="thick">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style="thick">
        <color indexed="64"/>
      </right>
      <top/>
      <bottom/>
      <diagonal/>
    </border>
    <border>
      <left/>
      <right style="thick">
        <color indexed="64"/>
      </right>
      <top style="medium">
        <color indexed="64"/>
      </top>
      <bottom style="medium">
        <color indexed="64"/>
      </bottom>
      <diagonal/>
    </border>
    <border>
      <left/>
      <right style="thin">
        <color indexed="64"/>
      </right>
      <top style="thin">
        <color indexed="64"/>
      </top>
      <bottom style="medium">
        <color indexed="64"/>
      </bottom>
      <diagonal/>
    </border>
    <border>
      <left style="thick">
        <color indexed="64"/>
      </left>
      <right/>
      <top/>
      <bottom style="medium">
        <color indexed="64"/>
      </bottom>
      <diagonal/>
    </border>
    <border>
      <left/>
      <right style="thick">
        <color indexed="64"/>
      </right>
      <top style="medium">
        <color indexed="64"/>
      </top>
      <bottom/>
      <diagonal/>
    </border>
    <border>
      <left style="thick">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bottom style="thin">
        <color indexed="9"/>
      </bottom>
      <diagonal/>
    </border>
    <border>
      <left style="thin">
        <color indexed="64"/>
      </left>
      <right style="thin">
        <color indexed="64"/>
      </right>
      <top/>
      <bottom style="thin">
        <color indexed="9"/>
      </bottom>
      <diagonal/>
    </border>
    <border>
      <left style="thin">
        <color indexed="64"/>
      </left>
      <right style="thick">
        <color indexed="64"/>
      </right>
      <top/>
      <bottom/>
      <diagonal/>
    </border>
    <border>
      <left style="thick">
        <color indexed="64"/>
      </left>
      <right style="thin">
        <color indexed="64"/>
      </right>
      <top style="thin">
        <color indexed="9"/>
      </top>
      <bottom style="dashed">
        <color indexed="64"/>
      </bottom>
      <diagonal/>
    </border>
    <border>
      <left/>
      <right style="thin">
        <color indexed="64"/>
      </right>
      <top style="thin">
        <color indexed="9"/>
      </top>
      <bottom style="dashed">
        <color indexed="64"/>
      </bottom>
      <diagonal/>
    </border>
    <border>
      <left style="thin">
        <color indexed="64"/>
      </left>
      <right/>
      <top style="thin">
        <color indexed="9"/>
      </top>
      <bottom style="dashed">
        <color indexed="64"/>
      </bottom>
      <diagonal/>
    </border>
    <border>
      <left style="thin">
        <color indexed="64"/>
      </left>
      <right style="thick">
        <color indexed="64"/>
      </right>
      <top/>
      <bottom style="dashed">
        <color indexed="64"/>
      </bottom>
      <diagonal/>
    </border>
    <border>
      <left style="thick">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style="thick">
        <color indexed="64"/>
      </right>
      <top style="dashed">
        <color indexed="64"/>
      </top>
      <bottom/>
      <diagonal/>
    </border>
    <border>
      <left style="thick">
        <color indexed="64"/>
      </left>
      <right style="thin">
        <color indexed="64"/>
      </right>
      <top style="thin">
        <color indexed="9"/>
      </top>
      <bottom style="thick">
        <color indexed="64"/>
      </bottom>
      <diagonal/>
    </border>
    <border>
      <left style="thin">
        <color indexed="64"/>
      </left>
      <right style="thin">
        <color indexed="64"/>
      </right>
      <top style="thin">
        <color indexed="9"/>
      </top>
      <bottom style="thick">
        <color indexed="64"/>
      </bottom>
      <diagonal/>
    </border>
    <border>
      <left style="thin">
        <color indexed="64"/>
      </left>
      <right style="thick">
        <color indexed="64"/>
      </right>
      <top/>
      <bottom style="thick">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ck">
        <color indexed="64"/>
      </bottom>
      <diagonal/>
    </border>
    <border>
      <left style="thick">
        <color indexed="64"/>
      </left>
      <right style="thin">
        <color indexed="64"/>
      </right>
      <top/>
      <bottom style="thin">
        <color indexed="64"/>
      </bottom>
      <diagonal/>
    </border>
    <border>
      <left/>
      <right style="thick">
        <color indexed="64"/>
      </right>
      <top style="medium">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medium">
        <color indexed="64"/>
      </bottom>
      <diagonal/>
    </border>
    <border>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ck">
        <color indexed="64"/>
      </bottom>
      <diagonal/>
    </border>
    <border>
      <left style="thin">
        <color indexed="64"/>
      </left>
      <right style="thin">
        <color indexed="64"/>
      </right>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thin">
        <color indexed="64"/>
      </top>
      <bottom/>
      <diagonal/>
    </border>
    <border>
      <left style="thick">
        <color indexed="64"/>
      </left>
      <right style="thick">
        <color indexed="64"/>
      </right>
      <top style="medium">
        <color indexed="64"/>
      </top>
      <bottom style="thin">
        <color indexed="64"/>
      </bottom>
      <diagonal/>
    </border>
    <border>
      <left style="thick">
        <color indexed="64"/>
      </left>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ck">
        <color indexed="64"/>
      </bottom>
      <diagonal/>
    </border>
    <border>
      <left style="medium">
        <color indexed="64"/>
      </left>
      <right/>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ck">
        <color indexed="64"/>
      </right>
      <top style="thin">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style="medium">
        <color indexed="64"/>
      </bottom>
      <diagonal/>
    </border>
    <border>
      <left/>
      <right style="medium">
        <color indexed="64"/>
      </right>
      <top/>
      <bottom style="medium">
        <color indexed="64"/>
      </bottom>
      <diagonal/>
    </border>
    <border>
      <left style="thick">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thick">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9"/>
      </left>
      <right style="thin">
        <color indexed="64"/>
      </right>
      <top style="thin">
        <color indexed="64"/>
      </top>
      <bottom style="thin">
        <color indexed="64"/>
      </bottom>
      <diagonal/>
    </border>
    <border>
      <left style="thin">
        <color indexed="9"/>
      </left>
      <right/>
      <top/>
      <bottom/>
      <diagonal/>
    </border>
    <border>
      <left style="thick">
        <color indexed="64"/>
      </left>
      <right style="thick">
        <color indexed="64"/>
      </right>
      <top style="thin">
        <color indexed="64"/>
      </top>
      <bottom style="hair">
        <color indexed="64"/>
      </bottom>
      <diagonal/>
    </border>
    <border>
      <left style="thick">
        <color indexed="64"/>
      </left>
      <right style="thick">
        <color indexed="64"/>
      </right>
      <top style="hair">
        <color indexed="64"/>
      </top>
      <bottom style="thick">
        <color indexed="64"/>
      </bottom>
      <diagonal/>
    </border>
    <border>
      <left style="thin">
        <color indexed="64"/>
      </left>
      <right style="thin">
        <color indexed="64"/>
      </right>
      <top style="hair">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diagonal/>
    </border>
    <border>
      <left style="thin">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right/>
      <top style="medium">
        <color indexed="64"/>
      </top>
      <bottom style="double">
        <color indexed="64"/>
      </bottom>
      <diagonal/>
    </border>
    <border>
      <left/>
      <right/>
      <top style="thin">
        <color indexed="10"/>
      </top>
      <bottom/>
      <diagonal/>
    </border>
    <border>
      <left/>
      <right/>
      <top style="hair">
        <color indexed="22"/>
      </top>
      <bottom/>
      <diagonal/>
    </border>
    <border>
      <left/>
      <right style="thin">
        <color indexed="55"/>
      </right>
      <top style="thin">
        <color indexed="55"/>
      </top>
      <bottom/>
      <diagonal/>
    </border>
    <border>
      <left/>
      <right style="thin">
        <color indexed="55"/>
      </right>
      <top/>
      <bottom/>
      <diagonal/>
    </border>
    <border>
      <left/>
      <right style="thin">
        <color indexed="55"/>
      </right>
      <top/>
      <bottom style="thin">
        <color indexed="55"/>
      </bottom>
      <diagonal/>
    </border>
    <border>
      <left style="thin">
        <color indexed="64"/>
      </left>
      <right style="mediumDashed">
        <color indexed="64"/>
      </right>
      <top style="double">
        <color indexed="64"/>
      </top>
      <bottom style="thin">
        <color indexed="64"/>
      </bottom>
      <diagonal/>
    </border>
    <border>
      <left style="double">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double">
        <color indexed="64"/>
      </right>
      <top style="thin">
        <color indexed="64"/>
      </top>
      <bottom style="dotted">
        <color indexed="64"/>
      </bottom>
      <diagonal/>
    </border>
    <border>
      <left style="double">
        <color indexed="64"/>
      </left>
      <right style="thin">
        <color indexed="64"/>
      </right>
      <top style="dotted">
        <color indexed="64"/>
      </top>
      <bottom style="mediumDashed">
        <color indexed="64"/>
      </bottom>
      <diagonal/>
    </border>
    <border>
      <left style="thin">
        <color indexed="64"/>
      </left>
      <right style="thin">
        <color indexed="64"/>
      </right>
      <top style="dotted">
        <color indexed="64"/>
      </top>
      <bottom/>
      <diagonal/>
    </border>
    <border>
      <left style="thin">
        <color indexed="64"/>
      </left>
      <right style="double">
        <color indexed="64"/>
      </right>
      <top style="dotted">
        <color indexed="64"/>
      </top>
      <bottom style="mediumDashed">
        <color indexed="64"/>
      </bottom>
      <diagonal/>
    </border>
    <border>
      <left style="double">
        <color indexed="64"/>
      </left>
      <right/>
      <top/>
      <bottom style="double">
        <color indexed="64"/>
      </bottom>
      <diagonal/>
    </border>
    <border>
      <left style="thin">
        <color indexed="64"/>
      </left>
      <right style="mediumDashed">
        <color indexed="64"/>
      </right>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bottom style="medium">
        <color indexed="8"/>
      </bottom>
      <diagonal/>
    </border>
    <border>
      <left style="medium">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medium">
        <color indexed="49"/>
      </bottom>
      <diagonal/>
    </border>
    <border>
      <left/>
      <right/>
      <top style="thin">
        <color indexed="62"/>
      </top>
      <bottom style="double">
        <color indexed="62"/>
      </bottom>
      <diagonal/>
    </border>
    <border>
      <left style="double">
        <color indexed="64"/>
      </left>
      <right style="thin">
        <color indexed="64"/>
      </right>
      <top style="thin">
        <color indexed="22"/>
      </top>
      <bottom style="thin">
        <color indexed="22"/>
      </bottom>
      <diagonal/>
    </border>
    <border>
      <left/>
      <right/>
      <top/>
      <bottom style="thin">
        <color indexed="22"/>
      </bottom>
      <diagonal/>
    </border>
    <border>
      <left style="thick">
        <color indexed="64"/>
      </left>
      <right style="thin">
        <color indexed="55"/>
      </right>
      <top style="thick">
        <color indexed="64"/>
      </top>
      <bottom style="thin">
        <color indexed="64"/>
      </bottom>
      <diagonal/>
    </border>
    <border>
      <left style="thin">
        <color indexed="55"/>
      </left>
      <right style="thin">
        <color indexed="55"/>
      </right>
      <top style="thick">
        <color indexed="64"/>
      </top>
      <bottom style="thin">
        <color indexed="64"/>
      </bottom>
      <diagonal/>
    </border>
    <border>
      <left style="thin">
        <color indexed="55"/>
      </left>
      <right style="thick">
        <color indexed="64"/>
      </right>
      <top style="thick">
        <color indexed="64"/>
      </top>
      <bottom style="thin">
        <color indexed="64"/>
      </bottom>
      <diagonal/>
    </border>
    <border>
      <left style="thick">
        <color indexed="8"/>
      </left>
      <right style="thin">
        <color indexed="55"/>
      </right>
      <top style="thick">
        <color indexed="8"/>
      </top>
      <bottom style="thin">
        <color indexed="64"/>
      </bottom>
      <diagonal/>
    </border>
    <border>
      <left style="thin">
        <color indexed="55"/>
      </left>
      <right style="thin">
        <color indexed="55"/>
      </right>
      <top style="thick">
        <color indexed="8"/>
      </top>
      <bottom style="thin">
        <color indexed="64"/>
      </bottom>
      <diagonal/>
    </border>
    <border>
      <left style="thin">
        <color indexed="55"/>
      </left>
      <right style="thick">
        <color indexed="8"/>
      </right>
      <top style="thick">
        <color indexed="8"/>
      </top>
      <bottom style="thin">
        <color indexed="64"/>
      </bottom>
      <diagonal/>
    </border>
    <border>
      <left style="thick">
        <color indexed="64"/>
      </left>
      <right/>
      <top style="thin">
        <color indexed="64"/>
      </top>
      <bottom style="thick">
        <color indexed="64"/>
      </bottom>
      <diagonal/>
    </border>
    <border>
      <left style="thick">
        <color indexed="8"/>
      </left>
      <right/>
      <top style="thin">
        <color indexed="64"/>
      </top>
      <bottom style="thick">
        <color indexed="64"/>
      </bottom>
      <diagonal/>
    </border>
    <border>
      <left/>
      <right style="thick">
        <color indexed="8"/>
      </right>
      <top style="thin">
        <color indexed="64"/>
      </top>
      <bottom style="thick">
        <color indexed="64"/>
      </bottom>
      <diagonal/>
    </border>
    <border>
      <left/>
      <right style="thick">
        <color indexed="64"/>
      </right>
      <top style="thick">
        <color indexed="64"/>
      </top>
      <bottom style="thin">
        <color indexed="64"/>
      </bottom>
      <diagonal/>
    </border>
    <border>
      <left style="thick">
        <color indexed="64"/>
      </left>
      <right style="thick">
        <color indexed="64"/>
      </right>
      <top/>
      <bottom style="medium">
        <color indexed="64"/>
      </bottom>
      <diagonal/>
    </border>
    <border>
      <left style="thin">
        <color indexed="64"/>
      </left>
      <right style="thin">
        <color indexed="64"/>
      </right>
      <top style="thick">
        <color indexed="10"/>
      </top>
      <bottom style="thin">
        <color indexed="64"/>
      </bottom>
      <diagonal/>
    </border>
    <border>
      <left style="thin">
        <color indexed="64"/>
      </left>
      <right style="thin">
        <color indexed="64"/>
      </right>
      <top style="thin">
        <color indexed="64"/>
      </top>
      <bottom style="thick">
        <color indexed="10"/>
      </bottom>
      <diagonal/>
    </border>
    <border>
      <left style="thin">
        <color indexed="64"/>
      </left>
      <right style="medium">
        <color indexed="64"/>
      </right>
      <top/>
      <bottom style="medium">
        <color indexed="64"/>
      </bottom>
      <diagonal/>
    </border>
    <border>
      <left style="medium">
        <color indexed="64"/>
      </left>
      <right style="thin">
        <color indexed="64"/>
      </right>
      <top style="thick">
        <color indexed="10"/>
      </top>
      <bottom style="thin">
        <color indexed="64"/>
      </bottom>
      <diagonal/>
    </border>
    <border>
      <left style="medium">
        <color indexed="64"/>
      </left>
      <right style="thin">
        <color indexed="64"/>
      </right>
      <top style="thin">
        <color indexed="64"/>
      </top>
      <bottom style="thick">
        <color indexed="10"/>
      </bottom>
      <diagonal/>
    </border>
    <border>
      <left style="thin">
        <color indexed="64"/>
      </left>
      <right style="thin">
        <color indexed="64"/>
      </right>
      <top style="thin">
        <color indexed="64"/>
      </top>
      <bottom style="thin">
        <color indexed="9"/>
      </bottom>
      <diagonal/>
    </border>
    <border>
      <left style="thin">
        <color indexed="64"/>
      </left>
      <right style="thin">
        <color indexed="64"/>
      </right>
      <top style="thin">
        <color indexed="9"/>
      </top>
      <bottom style="thin">
        <color indexed="9"/>
      </bottom>
      <diagonal/>
    </border>
    <border>
      <left style="thin">
        <color indexed="64"/>
      </left>
      <right style="medium">
        <color indexed="64"/>
      </right>
      <top style="thin">
        <color indexed="9"/>
      </top>
      <bottom style="thin">
        <color indexed="64"/>
      </bottom>
      <diagonal/>
    </border>
    <border>
      <left/>
      <right style="medium">
        <color indexed="64"/>
      </right>
      <top style="hair">
        <color indexed="64"/>
      </top>
      <bottom style="hair">
        <color indexed="64"/>
      </bottom>
      <diagonal/>
    </border>
    <border>
      <left/>
      <right style="medium">
        <color indexed="64"/>
      </right>
      <top style="thick">
        <color indexed="64"/>
      </top>
      <bottom/>
      <diagonal/>
    </border>
    <border diagonalDown="1">
      <left style="thin">
        <color indexed="64"/>
      </left>
      <right style="thin">
        <color indexed="64"/>
      </right>
      <top style="medium">
        <color indexed="64"/>
      </top>
      <bottom/>
      <diagonal style="thin">
        <color indexed="64"/>
      </diagonal>
    </border>
    <border diagonalDown="1">
      <left style="thin">
        <color indexed="64"/>
      </left>
      <right style="double">
        <color indexed="64"/>
      </right>
      <top style="medium">
        <color indexed="64"/>
      </top>
      <bottom/>
      <diagonal style="thin">
        <color indexed="64"/>
      </diagonal>
    </border>
    <border diagonalDown="1">
      <left style="thin">
        <color indexed="64"/>
      </left>
      <right style="thin">
        <color indexed="64"/>
      </right>
      <top style="hair">
        <color indexed="64"/>
      </top>
      <bottom style="hair">
        <color indexed="64"/>
      </bottom>
      <diagonal style="thin">
        <color indexed="64"/>
      </diagonal>
    </border>
    <border diagonalDown="1">
      <left style="thin">
        <color indexed="64"/>
      </left>
      <right style="double">
        <color indexed="64"/>
      </right>
      <top style="hair">
        <color indexed="64"/>
      </top>
      <bottom style="hair">
        <color indexed="64"/>
      </bottom>
      <diagonal style="thin">
        <color indexed="64"/>
      </diagonal>
    </border>
    <border diagonalDown="1">
      <left style="thin">
        <color indexed="64"/>
      </left>
      <right style="thin">
        <color indexed="64"/>
      </right>
      <top/>
      <bottom style="medium">
        <color indexed="64"/>
      </bottom>
      <diagonal style="thin">
        <color indexed="64"/>
      </diagonal>
    </border>
    <border diagonalDown="1">
      <left style="thin">
        <color indexed="64"/>
      </left>
      <right style="double">
        <color indexed="64"/>
      </right>
      <top/>
      <bottom style="medium">
        <color indexed="64"/>
      </bottom>
      <diagonal style="thin">
        <color indexed="64"/>
      </diagonal>
    </border>
    <border>
      <left style="medium">
        <color indexed="64"/>
      </left>
      <right style="medium">
        <color indexed="64"/>
      </right>
      <top/>
      <bottom style="thick">
        <color indexed="64"/>
      </bottom>
      <diagonal/>
    </border>
    <border>
      <left style="hair">
        <color indexed="22"/>
      </left>
      <right style="hair">
        <color indexed="22"/>
      </right>
      <top style="thin">
        <color indexed="54"/>
      </top>
      <bottom/>
      <diagonal/>
    </border>
    <border>
      <left style="thick">
        <color indexed="10"/>
      </left>
      <right style="thick">
        <color indexed="10"/>
      </right>
      <top style="thick">
        <color indexed="10"/>
      </top>
      <bottom style="thick">
        <color indexed="10"/>
      </bottom>
      <diagonal/>
    </border>
    <border>
      <left style="thin">
        <color indexed="64"/>
      </left>
      <right style="medium">
        <color indexed="64"/>
      </right>
      <top style="thin">
        <color indexed="64"/>
      </top>
      <bottom/>
      <diagonal/>
    </border>
    <border>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thin">
        <color indexed="64"/>
      </left>
      <right style="dotted">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thin">
        <color indexed="64"/>
      </left>
      <right style="dotted">
        <color indexed="64"/>
      </right>
      <top style="hair">
        <color indexed="64"/>
      </top>
      <bottom style="medium">
        <color indexed="64"/>
      </bottom>
      <diagonal/>
    </border>
    <border>
      <left style="dotted">
        <color indexed="64"/>
      </left>
      <right style="dotted">
        <color indexed="64"/>
      </right>
      <top style="hair">
        <color indexed="64"/>
      </top>
      <bottom style="medium">
        <color indexed="64"/>
      </bottom>
      <diagonal/>
    </border>
    <border>
      <left style="dotted">
        <color indexed="64"/>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thick">
        <color indexed="64"/>
      </left>
      <right style="thick">
        <color indexed="64"/>
      </right>
      <top style="thick">
        <color indexed="10"/>
      </top>
      <bottom/>
      <diagonal/>
    </border>
    <border>
      <left style="thick">
        <color indexed="64"/>
      </left>
      <right style="thick">
        <color indexed="64"/>
      </right>
      <top/>
      <bottom style="thick">
        <color indexed="10"/>
      </bottom>
      <diagonal/>
    </border>
    <border>
      <left style="double">
        <color indexed="64"/>
      </left>
      <right/>
      <top/>
      <bottom style="hair">
        <color indexed="64"/>
      </bottom>
      <diagonal/>
    </border>
    <border>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hair">
        <color indexed="64"/>
      </top>
      <bottom/>
      <diagonal/>
    </border>
    <border>
      <left/>
      <right/>
      <top style="thick">
        <color indexed="64"/>
      </top>
      <bottom style="thin">
        <color indexed="10"/>
      </bottom>
      <diagonal/>
    </border>
    <border>
      <left/>
      <right style="thin">
        <color indexed="64"/>
      </right>
      <top style="thick">
        <color indexed="64"/>
      </top>
      <bottom style="thin">
        <color indexed="10"/>
      </bottom>
      <diagonal/>
    </border>
    <border>
      <left/>
      <right/>
      <top style="thin">
        <color indexed="10"/>
      </top>
      <bottom style="thin">
        <color indexed="64"/>
      </bottom>
      <diagonal/>
    </border>
    <border>
      <left/>
      <right style="thin">
        <color indexed="64"/>
      </right>
      <top/>
      <bottom style="thin">
        <color indexed="9"/>
      </bottom>
      <diagonal/>
    </border>
    <border>
      <left/>
      <right style="thin">
        <color indexed="64"/>
      </right>
      <top style="thin">
        <color indexed="9"/>
      </top>
      <bottom style="thick">
        <color indexed="64"/>
      </bottom>
      <diagonal/>
    </border>
    <border>
      <left/>
      <right style="thin">
        <color indexed="64"/>
      </right>
      <top/>
      <bottom style="thick">
        <color indexed="64"/>
      </bottom>
      <diagonal/>
    </border>
    <border>
      <left style="medium">
        <color indexed="64"/>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medium">
        <color indexed="64"/>
      </bottom>
      <diagonal/>
    </border>
    <border>
      <left style="double">
        <color indexed="64"/>
      </left>
      <right/>
      <top style="medium">
        <color indexed="64"/>
      </top>
      <bottom style="hair">
        <color indexed="64"/>
      </bottom>
      <diagonal/>
    </border>
    <border>
      <left/>
      <right style="double">
        <color indexed="64"/>
      </right>
      <top/>
      <bottom style="hair">
        <color indexed="64"/>
      </bottom>
      <diagonal/>
    </border>
    <border>
      <left/>
      <right style="double">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double">
        <color indexed="64"/>
      </left>
      <right style="medium">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thin">
        <color indexed="55"/>
      </left>
      <right style="thin">
        <color indexed="55"/>
      </right>
      <top style="thick">
        <color indexed="64"/>
      </top>
      <bottom/>
      <diagonal/>
    </border>
  </borders>
  <cellStyleXfs count="81">
    <xf numFmtId="0" fontId="0" fillId="0" borderId="0"/>
    <xf numFmtId="0" fontId="331" fillId="19" borderId="0" applyNumberFormat="0" applyBorder="0" applyAlignment="0" applyProtection="0"/>
    <xf numFmtId="0" fontId="331" fillId="20" borderId="0" applyNumberFormat="0" applyBorder="0" applyAlignment="0" applyProtection="0"/>
    <xf numFmtId="0" fontId="331" fillId="21" borderId="0" applyNumberFormat="0" applyBorder="0" applyAlignment="0" applyProtection="0"/>
    <xf numFmtId="0" fontId="331" fillId="19" borderId="0" applyNumberFormat="0" applyBorder="0" applyAlignment="0" applyProtection="0"/>
    <xf numFmtId="0" fontId="331" fillId="22" borderId="0" applyNumberFormat="0" applyBorder="0" applyAlignment="0" applyProtection="0"/>
    <xf numFmtId="0" fontId="331" fillId="20" borderId="0" applyNumberFormat="0" applyBorder="0" applyAlignment="0" applyProtection="0"/>
    <xf numFmtId="0" fontId="106" fillId="19" borderId="0" applyNumberFormat="0" applyBorder="0" applyAlignment="0" applyProtection="0"/>
    <xf numFmtId="0" fontId="106" fillId="20" borderId="0" applyNumberFormat="0" applyBorder="0" applyAlignment="0" applyProtection="0"/>
    <xf numFmtId="0" fontId="106" fillId="21" borderId="0" applyNumberFormat="0" applyBorder="0" applyAlignment="0" applyProtection="0"/>
    <xf numFmtId="0" fontId="106" fillId="19" borderId="0" applyNumberFormat="0" applyBorder="0" applyAlignment="0" applyProtection="0"/>
    <xf numFmtId="0" fontId="106" fillId="22" borderId="0" applyNumberFormat="0" applyBorder="0" applyAlignment="0" applyProtection="0"/>
    <xf numFmtId="0" fontId="106" fillId="20" borderId="0" applyNumberFormat="0" applyBorder="0" applyAlignment="0" applyProtection="0"/>
    <xf numFmtId="0" fontId="331" fillId="23" borderId="0" applyNumberFormat="0" applyBorder="0" applyAlignment="0" applyProtection="0"/>
    <xf numFmtId="0" fontId="331" fillId="20" borderId="0" applyNumberFormat="0" applyBorder="0" applyAlignment="0" applyProtection="0"/>
    <xf numFmtId="0" fontId="331" fillId="21" borderId="0" applyNumberFormat="0" applyBorder="0" applyAlignment="0" applyProtection="0"/>
    <xf numFmtId="0" fontId="331" fillId="23" borderId="0" applyNumberFormat="0" applyBorder="0" applyAlignment="0" applyProtection="0"/>
    <xf numFmtId="0" fontId="331" fillId="24" borderId="0" applyNumberFormat="0" applyBorder="0" applyAlignment="0" applyProtection="0"/>
    <xf numFmtId="0" fontId="331" fillId="20" borderId="0" applyNumberFormat="0" applyBorder="0" applyAlignment="0" applyProtection="0"/>
    <xf numFmtId="0" fontId="106" fillId="24" borderId="0" applyNumberFormat="0" applyBorder="0" applyAlignment="0" applyProtection="0"/>
    <xf numFmtId="0" fontId="106" fillId="20" borderId="0" applyNumberFormat="0" applyBorder="0" applyAlignment="0" applyProtection="0"/>
    <xf numFmtId="0" fontId="106" fillId="21" borderId="0" applyNumberFormat="0" applyBorder="0" applyAlignment="0" applyProtection="0"/>
    <xf numFmtId="0" fontId="106" fillId="25" borderId="0" applyNumberFormat="0" applyBorder="0" applyAlignment="0" applyProtection="0"/>
    <xf numFmtId="0" fontId="106" fillId="24" borderId="0" applyNumberFormat="0" applyBorder="0" applyAlignment="0" applyProtection="0"/>
    <xf numFmtId="0" fontId="106" fillId="26" borderId="0" applyNumberFormat="0" applyBorder="0" applyAlignment="0" applyProtection="0"/>
    <xf numFmtId="0" fontId="331" fillId="27" borderId="0" applyNumberFormat="0" applyBorder="0" applyAlignment="0" applyProtection="0"/>
    <xf numFmtId="0" fontId="331" fillId="28" borderId="0" applyNumberFormat="0" applyBorder="0" applyAlignment="0" applyProtection="0"/>
    <xf numFmtId="0" fontId="331" fillId="21" borderId="0" applyNumberFormat="0" applyBorder="0" applyAlignment="0" applyProtection="0"/>
    <xf numFmtId="0" fontId="331" fillId="23" borderId="0" applyNumberFormat="0" applyBorder="0" applyAlignment="0" applyProtection="0"/>
    <xf numFmtId="0" fontId="331" fillId="27" borderId="0" applyNumberFormat="0" applyBorder="0" applyAlignment="0" applyProtection="0"/>
    <xf numFmtId="0" fontId="331" fillId="20" borderId="0" applyNumberFormat="0" applyBorder="0" applyAlignment="0" applyProtection="0"/>
    <xf numFmtId="0" fontId="107" fillId="29" borderId="0" applyNumberFormat="0" applyBorder="0" applyAlignment="0" applyProtection="0"/>
    <xf numFmtId="0" fontId="107" fillId="28" borderId="0" applyNumberFormat="0" applyBorder="0" applyAlignment="0" applyProtection="0"/>
    <xf numFmtId="0" fontId="107" fillId="21" borderId="0" applyNumberFormat="0" applyBorder="0" applyAlignment="0" applyProtection="0"/>
    <xf numFmtId="0" fontId="107" fillId="23" borderId="0" applyNumberFormat="0" applyBorder="0" applyAlignment="0" applyProtection="0"/>
    <xf numFmtId="0" fontId="107" fillId="27" borderId="0" applyNumberFormat="0" applyBorder="0" applyAlignment="0" applyProtection="0"/>
    <xf numFmtId="0" fontId="107" fillId="20" borderId="0" applyNumberFormat="0" applyBorder="0" applyAlignment="0" applyProtection="0"/>
    <xf numFmtId="0" fontId="107" fillId="30" borderId="0" applyNumberFormat="0" applyBorder="0" applyAlignment="0" applyProtection="0"/>
    <xf numFmtId="0" fontId="107" fillId="31" borderId="0" applyNumberFormat="0" applyBorder="0" applyAlignment="0" applyProtection="0"/>
    <xf numFmtId="0" fontId="107" fillId="21" borderId="0" applyNumberFormat="0" applyBorder="0" applyAlignment="0" applyProtection="0"/>
    <xf numFmtId="0" fontId="107" fillId="32" borderId="0" applyNumberFormat="0" applyBorder="0" applyAlignment="0" applyProtection="0"/>
    <xf numFmtId="0" fontId="107" fillId="27" borderId="0" applyNumberFormat="0" applyBorder="0" applyAlignment="0" applyProtection="0"/>
    <xf numFmtId="0" fontId="107" fillId="28" borderId="0" applyNumberFormat="0" applyBorder="0" applyAlignment="0" applyProtection="0"/>
    <xf numFmtId="0" fontId="329" fillId="0" borderId="0" applyNumberFormat="0" applyFill="0" applyBorder="0" applyAlignment="0" applyProtection="0"/>
    <xf numFmtId="0" fontId="108" fillId="33" borderId="0" applyNumberFormat="0" applyBorder="0" applyAlignment="0" applyProtection="0"/>
    <xf numFmtId="0" fontId="326" fillId="19" borderId="306" applyNumberFormat="0" applyAlignment="0" applyProtection="0"/>
    <xf numFmtId="0" fontId="109" fillId="23" borderId="306" applyNumberFormat="0" applyAlignment="0" applyProtection="0"/>
    <xf numFmtId="0" fontId="327" fillId="0" borderId="307" applyNumberFormat="0" applyFill="0" applyAlignment="0" applyProtection="0"/>
    <xf numFmtId="0" fontId="110" fillId="34" borderId="308" applyNumberFormat="0" applyAlignment="0" applyProtection="0"/>
    <xf numFmtId="0" fontId="324" fillId="20" borderId="306" applyNumberFormat="0" applyAlignment="0" applyProtection="0"/>
    <xf numFmtId="0" fontId="43" fillId="0" borderId="0"/>
    <xf numFmtId="0" fontId="111" fillId="0" borderId="0" applyNumberFormat="0" applyFill="0" applyBorder="0" applyAlignment="0" applyProtection="0"/>
    <xf numFmtId="0" fontId="112" fillId="35" borderId="0" applyNumberFormat="0" applyBorder="0" applyAlignment="0" applyProtection="0"/>
    <xf numFmtId="0" fontId="113" fillId="0" borderId="309" applyNumberFormat="0" applyFill="0" applyAlignment="0" applyProtection="0"/>
    <xf numFmtId="0" fontId="114" fillId="0" borderId="310" applyNumberFormat="0" applyFill="0" applyAlignment="0" applyProtection="0"/>
    <xf numFmtId="0" fontId="115" fillId="0" borderId="311" applyNumberFormat="0" applyFill="0" applyAlignment="0" applyProtection="0"/>
    <xf numFmtId="0" fontId="115" fillId="0" borderId="0" applyNumberFormat="0" applyFill="0" applyBorder="0" applyAlignment="0" applyProtection="0"/>
    <xf numFmtId="0" fontId="116" fillId="20" borderId="306" applyNumberFormat="0" applyAlignment="0" applyProtection="0"/>
    <xf numFmtId="0" fontId="322" fillId="33" borderId="0" applyNumberFormat="0" applyBorder="0" applyAlignment="0" applyProtection="0"/>
    <xf numFmtId="0" fontId="180" fillId="0" borderId="0" applyNumberFormat="0" applyFill="0" applyBorder="0" applyAlignment="0" applyProtection="0">
      <alignment vertical="top"/>
      <protection locked="0"/>
    </xf>
    <xf numFmtId="0" fontId="117" fillId="0" borderId="307" applyNumberFormat="0" applyFill="0" applyAlignment="0" applyProtection="0"/>
    <xf numFmtId="44" fontId="92" fillId="0" borderId="0" applyFont="0" applyFill="0" applyBorder="0" applyAlignment="0" applyProtection="0"/>
    <xf numFmtId="0" fontId="118" fillId="36" borderId="0" applyNumberFormat="0" applyBorder="0" applyAlignment="0" applyProtection="0"/>
    <xf numFmtId="0" fontId="323" fillId="36" borderId="0" applyNumberFormat="0" applyBorder="0" applyAlignment="0" applyProtection="0"/>
    <xf numFmtId="0" fontId="43" fillId="0" borderId="0"/>
    <xf numFmtId="0" fontId="41" fillId="37" borderId="56" applyNumberFormat="0" applyFont="0" applyAlignment="0" applyProtection="0"/>
    <xf numFmtId="0" fontId="119" fillId="23" borderId="312" applyNumberFormat="0" applyAlignment="0" applyProtection="0"/>
    <xf numFmtId="9" fontId="13" fillId="0" borderId="0" applyFont="0" applyFill="0" applyBorder="0" applyAlignment="0" applyProtection="0"/>
    <xf numFmtId="0" fontId="321" fillId="35" borderId="0" applyNumberFormat="0" applyBorder="0" applyAlignment="0" applyProtection="0"/>
    <xf numFmtId="0" fontId="325" fillId="19" borderId="312" applyNumberFormat="0" applyAlignment="0" applyProtection="0"/>
    <xf numFmtId="0" fontId="330" fillId="0" borderId="0" applyNumberFormat="0" applyFill="0" applyBorder="0" applyAlignment="0" applyProtection="0"/>
    <xf numFmtId="0" fontId="120" fillId="0" borderId="0" applyNumberFormat="0" applyFill="0" applyBorder="0" applyAlignment="0" applyProtection="0"/>
    <xf numFmtId="0" fontId="317" fillId="0" borderId="0" applyNumberFormat="0" applyFill="0" applyBorder="0" applyAlignment="0" applyProtection="0"/>
    <xf numFmtId="0" fontId="318" fillId="0" borderId="313" applyNumberFormat="0" applyFill="0" applyAlignment="0" applyProtection="0"/>
    <xf numFmtId="0" fontId="319" fillId="0" borderId="310" applyNumberFormat="0" applyFill="0" applyAlignment="0" applyProtection="0"/>
    <xf numFmtId="0" fontId="320" fillId="0" borderId="314" applyNumberFormat="0" applyFill="0" applyAlignment="0" applyProtection="0"/>
    <xf numFmtId="0" fontId="320" fillId="0" borderId="0" applyNumberFormat="0" applyFill="0" applyBorder="0" applyAlignment="0" applyProtection="0"/>
    <xf numFmtId="0" fontId="121" fillId="0" borderId="315" applyNumberFormat="0" applyFill="0" applyAlignment="0" applyProtection="0"/>
    <xf numFmtId="0" fontId="328" fillId="34" borderId="308" applyNumberFormat="0" applyAlignment="0" applyProtection="0"/>
    <xf numFmtId="0" fontId="122" fillId="0" borderId="0" applyNumberFormat="0" applyFill="0" applyBorder="0" applyAlignment="0" applyProtection="0"/>
    <xf numFmtId="0" fontId="13" fillId="0" borderId="0"/>
  </cellStyleXfs>
  <cellXfs count="2994">
    <xf numFmtId="0" fontId="0" fillId="0" borderId="0" xfId="0"/>
    <xf numFmtId="0" fontId="43" fillId="0" borderId="0" xfId="50"/>
    <xf numFmtId="0" fontId="46" fillId="0" borderId="0" xfId="50" applyFont="1"/>
    <xf numFmtId="0" fontId="43" fillId="0" borderId="0" xfId="50" applyAlignment="1">
      <alignment vertical="center"/>
    </xf>
    <xf numFmtId="0" fontId="46" fillId="0" borderId="0" xfId="50" applyFont="1" applyAlignment="1">
      <alignment vertical="center"/>
    </xf>
    <xf numFmtId="0" fontId="0" fillId="0" borderId="0" xfId="0" applyAlignment="1">
      <alignment vertical="center"/>
    </xf>
    <xf numFmtId="164" fontId="46" fillId="0" borderId="0" xfId="50" applyNumberFormat="1" applyFont="1" applyFill="1" applyBorder="1" applyAlignment="1">
      <alignment horizontal="center"/>
    </xf>
    <xf numFmtId="0" fontId="43" fillId="0" borderId="0" xfId="50" applyFill="1" applyBorder="1"/>
    <xf numFmtId="0" fontId="46" fillId="0" borderId="0" xfId="50" applyFont="1" applyFill="1" applyBorder="1"/>
    <xf numFmtId="0" fontId="0" fillId="0" borderId="0" xfId="0" applyFill="1" applyBorder="1"/>
    <xf numFmtId="0" fontId="48" fillId="0" borderId="0" xfId="50" applyFont="1" applyAlignment="1">
      <alignment horizontal="center" vertical="top" wrapText="1"/>
    </xf>
    <xf numFmtId="0" fontId="48" fillId="0" borderId="0" xfId="50" applyFont="1" applyFill="1" applyBorder="1" applyAlignment="1">
      <alignment horizontal="center" vertical="top" wrapText="1"/>
    </xf>
    <xf numFmtId="0" fontId="48" fillId="0" borderId="0" xfId="0" applyFont="1" applyAlignment="1">
      <alignment horizontal="center" vertical="top" wrapText="1"/>
    </xf>
    <xf numFmtId="0" fontId="46" fillId="0" borderId="0" xfId="0" applyFont="1"/>
    <xf numFmtId="0" fontId="52" fillId="0" borderId="0" xfId="50" applyFont="1"/>
    <xf numFmtId="0" fontId="52" fillId="0" borderId="0" xfId="50" applyFont="1" applyAlignment="1">
      <alignment vertical="center"/>
    </xf>
    <xf numFmtId="0" fontId="56" fillId="0" borderId="0" xfId="50" applyFont="1" applyAlignment="1">
      <alignment vertical="center"/>
    </xf>
    <xf numFmtId="0" fontId="47" fillId="0" borderId="0" xfId="50" applyFont="1" applyAlignment="1">
      <alignment horizontal="center" vertical="center"/>
    </xf>
    <xf numFmtId="164" fontId="46" fillId="0" borderId="0" xfId="50" applyNumberFormat="1" applyFont="1" applyFill="1" applyBorder="1" applyAlignment="1">
      <alignment horizontal="center" vertical="center"/>
    </xf>
    <xf numFmtId="0" fontId="43" fillId="0" borderId="0" xfId="50" applyFill="1" applyAlignment="1">
      <alignment vertical="center"/>
    </xf>
    <xf numFmtId="166" fontId="47" fillId="0" borderId="0" xfId="50" applyNumberFormat="1" applyFont="1" applyFill="1" applyAlignment="1">
      <alignment horizontal="center" vertical="center"/>
    </xf>
    <xf numFmtId="1" fontId="43" fillId="0" borderId="0" xfId="50" applyNumberFormat="1" applyAlignment="1">
      <alignment vertical="center"/>
    </xf>
    <xf numFmtId="0" fontId="0" fillId="0" borderId="0" xfId="0" applyBorder="1" applyAlignment="1">
      <alignment vertical="center"/>
    </xf>
    <xf numFmtId="0" fontId="59" fillId="0" borderId="0" xfId="0" applyFont="1"/>
    <xf numFmtId="0" fontId="50" fillId="0" borderId="0" xfId="0" applyFont="1"/>
    <xf numFmtId="0" fontId="50" fillId="0" borderId="0" xfId="0" applyFont="1" applyAlignment="1">
      <alignment horizontal="right"/>
    </xf>
    <xf numFmtId="0" fontId="62" fillId="0" borderId="0" xfId="0" applyFont="1" applyAlignment="1">
      <alignment horizontal="left"/>
    </xf>
    <xf numFmtId="0" fontId="64" fillId="0" borderId="0" xfId="0" applyFont="1" applyBorder="1" applyAlignment="1">
      <alignment horizontal="left"/>
    </xf>
    <xf numFmtId="0" fontId="59" fillId="0" borderId="0" xfId="0" applyFont="1" applyBorder="1" applyAlignment="1">
      <alignment horizontal="right"/>
    </xf>
    <xf numFmtId="169" fontId="59" fillId="0" borderId="0" xfId="0" applyNumberFormat="1" applyFont="1" applyBorder="1" applyAlignment="1">
      <alignment horizontal="left"/>
    </xf>
    <xf numFmtId="0" fontId="59" fillId="0" borderId="0" xfId="0" applyFont="1" applyBorder="1"/>
    <xf numFmtId="0" fontId="59" fillId="0" borderId="0" xfId="0" applyFont="1" applyAlignment="1">
      <alignment vertical="center"/>
    </xf>
    <xf numFmtId="0" fontId="41" fillId="0" borderId="0" xfId="0" applyFont="1" applyBorder="1" applyAlignment="1">
      <alignment horizontal="left" vertical="center"/>
    </xf>
    <xf numFmtId="0" fontId="66" fillId="0" borderId="0" xfId="0" applyFont="1" applyAlignment="1">
      <alignment horizontal="right"/>
    </xf>
    <xf numFmtId="0" fontId="59" fillId="0" borderId="0" xfId="0" applyFont="1" applyAlignment="1">
      <alignment vertical="top"/>
    </xf>
    <xf numFmtId="170" fontId="59" fillId="0" borderId="0" xfId="0" applyNumberFormat="1" applyFont="1" applyFill="1" applyBorder="1" applyAlignment="1">
      <alignment horizontal="right"/>
    </xf>
    <xf numFmtId="0" fontId="0" fillId="0" borderId="0" xfId="0" applyAlignment="1"/>
    <xf numFmtId="0" fontId="67" fillId="0" borderId="0" xfId="0" applyFont="1"/>
    <xf numFmtId="0" fontId="59" fillId="0" borderId="0" xfId="0" applyFont="1" applyBorder="1" applyAlignment="1"/>
    <xf numFmtId="0" fontId="59" fillId="0" borderId="0" xfId="0" applyFont="1" applyAlignment="1">
      <alignment horizontal="right"/>
    </xf>
    <xf numFmtId="0" fontId="55" fillId="0" borderId="0" xfId="0" applyFont="1" applyAlignment="1">
      <alignment vertical="center"/>
    </xf>
    <xf numFmtId="0" fontId="51" fillId="0" borderId="0" xfId="0" applyFont="1" applyAlignment="1">
      <alignment horizontal="center" vertical="center"/>
    </xf>
    <xf numFmtId="0" fontId="46" fillId="0" borderId="0" xfId="50" applyFont="1" applyBorder="1"/>
    <xf numFmtId="164" fontId="47" fillId="0" borderId="0" xfId="50" applyNumberFormat="1" applyFont="1" applyFill="1" applyBorder="1" applyAlignment="1">
      <alignment horizontal="center" vertical="center"/>
    </xf>
    <xf numFmtId="0" fontId="46" fillId="0" borderId="0" xfId="50" applyFont="1" applyAlignment="1">
      <alignment horizontal="center"/>
    </xf>
    <xf numFmtId="0" fontId="72" fillId="0" borderId="0" xfId="50" applyFont="1" applyFill="1" applyAlignment="1"/>
    <xf numFmtId="0" fontId="72" fillId="0" borderId="0" xfId="50" applyFont="1"/>
    <xf numFmtId="0" fontId="75" fillId="0" borderId="0" xfId="50" applyFont="1"/>
    <xf numFmtId="0" fontId="75" fillId="0" borderId="0" xfId="50" applyFont="1" applyFill="1" applyBorder="1"/>
    <xf numFmtId="0" fontId="76" fillId="0" borderId="0" xfId="50" applyFont="1" applyAlignment="1">
      <alignment horizontal="center" vertical="center"/>
    </xf>
    <xf numFmtId="0" fontId="73" fillId="0" borderId="0" xfId="50" applyFont="1"/>
    <xf numFmtId="0" fontId="74" fillId="0" borderId="0" xfId="50" applyFont="1" applyFill="1" applyBorder="1"/>
    <xf numFmtId="0" fontId="74" fillId="0" borderId="0" xfId="50" applyFont="1"/>
    <xf numFmtId="0" fontId="74" fillId="0" borderId="0" xfId="0" applyFont="1"/>
    <xf numFmtId="0" fontId="77" fillId="0" borderId="0" xfId="50" applyFont="1" applyFill="1" applyBorder="1" applyAlignment="1">
      <alignment horizontal="center"/>
    </xf>
    <xf numFmtId="0" fontId="50" fillId="8" borderId="196" xfId="0" applyFont="1" applyFill="1" applyBorder="1" applyAlignment="1">
      <alignment horizontal="center" vertical="center" wrapText="1"/>
    </xf>
    <xf numFmtId="0" fontId="71" fillId="8" borderId="196" xfId="0" applyFont="1" applyFill="1" applyBorder="1" applyAlignment="1">
      <alignment horizontal="center" vertical="center" wrapText="1"/>
    </xf>
    <xf numFmtId="0" fontId="71" fillId="8" borderId="195" xfId="0" applyFont="1" applyFill="1" applyBorder="1" applyAlignment="1">
      <alignment horizontal="center" vertical="center" wrapText="1"/>
    </xf>
    <xf numFmtId="0" fontId="78" fillId="0" borderId="0" xfId="50" applyFont="1" applyAlignment="1">
      <alignment vertical="center"/>
    </xf>
    <xf numFmtId="0" fontId="0" fillId="0" borderId="0" xfId="0" applyBorder="1" applyAlignment="1"/>
    <xf numFmtId="0" fontId="51" fillId="0" borderId="22" xfId="50" applyFont="1" applyBorder="1" applyAlignment="1">
      <alignment horizontal="center" vertical="center"/>
    </xf>
    <xf numFmtId="0" fontId="40" fillId="0" borderId="19" xfId="50" applyFont="1" applyBorder="1" applyAlignment="1">
      <alignment vertical="center"/>
    </xf>
    <xf numFmtId="0" fontId="62" fillId="0" borderId="0" xfId="0" applyFont="1" applyAlignment="1">
      <alignment vertical="center"/>
    </xf>
    <xf numFmtId="0" fontId="83" fillId="0" borderId="0" xfId="0" applyFont="1" applyAlignment="1">
      <alignment horizontal="center" vertical="center" wrapText="1"/>
    </xf>
    <xf numFmtId="0" fontId="52" fillId="0" borderId="0" xfId="50" applyFont="1" applyAlignment="1">
      <alignment vertical="center" wrapText="1"/>
    </xf>
    <xf numFmtId="0" fontId="82" fillId="0" borderId="0" xfId="50" applyFont="1" applyFill="1" applyAlignment="1">
      <alignment vertical="center"/>
    </xf>
    <xf numFmtId="0" fontId="81" fillId="0" borderId="0" xfId="50" applyFont="1" applyFill="1" applyAlignment="1">
      <alignment vertical="center"/>
    </xf>
    <xf numFmtId="0" fontId="52" fillId="0" borderId="0" xfId="50" applyFont="1" applyFill="1"/>
    <xf numFmtId="0" fontId="46" fillId="0" borderId="0" xfId="50" applyFont="1" applyFill="1" applyBorder="1" applyAlignment="1">
      <alignment vertical="center"/>
    </xf>
    <xf numFmtId="0" fontId="46" fillId="0" borderId="0" xfId="0" applyFont="1" applyAlignment="1">
      <alignment vertical="center"/>
    </xf>
    <xf numFmtId="0" fontId="97" fillId="0" borderId="0" xfId="0" applyFont="1" applyAlignment="1">
      <alignment wrapText="1"/>
    </xf>
    <xf numFmtId="0" fontId="97" fillId="0" borderId="0" xfId="0" applyFont="1" applyAlignment="1">
      <alignment vertical="top"/>
    </xf>
    <xf numFmtId="0" fontId="0" fillId="0" borderId="0" xfId="0" applyAlignment="1">
      <alignment vertical="top"/>
    </xf>
    <xf numFmtId="0" fontId="52" fillId="0" borderId="0" xfId="0" applyFont="1" applyAlignment="1">
      <alignment vertical="top"/>
    </xf>
    <xf numFmtId="0" fontId="98" fillId="0" borderId="0" xfId="0" applyFont="1" applyAlignment="1">
      <alignment vertical="top"/>
    </xf>
    <xf numFmtId="0" fontId="99" fillId="0" borderId="0" xfId="0" applyFont="1"/>
    <xf numFmtId="0" fontId="52" fillId="0" borderId="0" xfId="0" applyFont="1" applyAlignment="1">
      <alignment vertical="center"/>
    </xf>
    <xf numFmtId="0" fontId="64" fillId="0" borderId="0" xfId="0" applyFont="1" applyAlignment="1">
      <alignment vertical="top"/>
    </xf>
    <xf numFmtId="0" fontId="64" fillId="0" borderId="0" xfId="0" applyFont="1" applyAlignment="1"/>
    <xf numFmtId="0" fontId="100" fillId="0" borderId="0" xfId="50" applyFont="1" applyAlignment="1">
      <alignment vertical="center"/>
    </xf>
    <xf numFmtId="0" fontId="50" fillId="0" borderId="0" xfId="0" quotePrefix="1" applyFont="1" applyAlignment="1">
      <alignment horizontal="right"/>
    </xf>
    <xf numFmtId="0" fontId="65" fillId="0" borderId="0" xfId="0" applyFont="1" applyFill="1" applyBorder="1" applyAlignment="1">
      <alignment horizontal="right" vertical="center"/>
    </xf>
    <xf numFmtId="0" fontId="63" fillId="0" borderId="0" xfId="0" applyFont="1" applyFill="1" applyAlignment="1">
      <alignment horizontal="center"/>
    </xf>
    <xf numFmtId="0" fontId="59" fillId="0" borderId="11" xfId="0" applyFont="1" applyBorder="1"/>
    <xf numFmtId="0" fontId="59" fillId="0" borderId="47" xfId="0" applyFont="1" applyBorder="1"/>
    <xf numFmtId="0" fontId="59" fillId="0" borderId="48" xfId="0" applyFont="1" applyBorder="1"/>
    <xf numFmtId="0" fontId="59" fillId="0" borderId="49" xfId="0" applyFont="1" applyBorder="1"/>
    <xf numFmtId="164" fontId="59" fillId="0" borderId="48" xfId="0" applyNumberFormat="1" applyFont="1" applyBorder="1"/>
    <xf numFmtId="0" fontId="62" fillId="0" borderId="11" xfId="0" quotePrefix="1" applyFont="1" applyBorder="1" applyAlignment="1">
      <alignment horizontal="right"/>
    </xf>
    <xf numFmtId="0" fontId="103" fillId="0" borderId="47" xfId="0" applyFont="1" applyBorder="1"/>
    <xf numFmtId="0" fontId="55" fillId="0" borderId="11" xfId="0" applyFont="1" applyBorder="1"/>
    <xf numFmtId="0" fontId="102" fillId="0" borderId="11" xfId="0" applyFont="1" applyBorder="1"/>
    <xf numFmtId="0" fontId="62" fillId="0" borderId="11" xfId="0" applyFont="1" applyBorder="1"/>
    <xf numFmtId="0" fontId="104" fillId="0" borderId="47" xfId="0" applyFont="1" applyBorder="1"/>
    <xf numFmtId="0" fontId="68" fillId="0" borderId="0" xfId="0" applyFont="1" applyFill="1" applyAlignment="1">
      <alignment horizontal="right" vertical="center"/>
    </xf>
    <xf numFmtId="164" fontId="68" fillId="0" borderId="0" xfId="0" applyNumberFormat="1" applyFont="1" applyFill="1" applyAlignment="1">
      <alignment vertical="center"/>
    </xf>
    <xf numFmtId="0" fontId="61" fillId="0" borderId="0" xfId="0" applyFont="1"/>
    <xf numFmtId="0" fontId="105" fillId="0" borderId="0" xfId="0" applyFont="1"/>
    <xf numFmtId="0" fontId="59" fillId="0" borderId="0" xfId="0" quotePrefix="1" applyFont="1"/>
    <xf numFmtId="0" fontId="55" fillId="0" borderId="0" xfId="0" applyFont="1"/>
    <xf numFmtId="0" fontId="51" fillId="0" borderId="0" xfId="0" applyFont="1" applyBorder="1" applyAlignment="1">
      <alignment horizontal="center" vertical="center"/>
    </xf>
    <xf numFmtId="0" fontId="0" fillId="0" borderId="0" xfId="0" applyBorder="1"/>
    <xf numFmtId="0" fontId="41" fillId="0" borderId="0" xfId="0" applyFont="1" applyAlignment="1">
      <alignment vertical="center"/>
    </xf>
    <xf numFmtId="0" fontId="43" fillId="0" borderId="0" xfId="50" applyAlignment="1">
      <alignment textRotation="90"/>
    </xf>
    <xf numFmtId="0" fontId="93" fillId="0" borderId="0" xfId="0" applyFont="1" applyBorder="1" applyAlignment="1">
      <alignment horizontal="right"/>
    </xf>
    <xf numFmtId="0" fontId="41" fillId="0" borderId="0" xfId="0" applyFont="1" applyAlignment="1">
      <alignment horizontal="center" vertical="center"/>
    </xf>
    <xf numFmtId="0" fontId="70" fillId="0" borderId="0" xfId="0" applyFont="1" applyFill="1" applyBorder="1" applyAlignment="1">
      <alignment vertical="center" wrapText="1"/>
    </xf>
    <xf numFmtId="0" fontId="51" fillId="0" borderId="0" xfId="0" applyFont="1" applyFill="1" applyBorder="1" applyAlignment="1">
      <alignment horizontal="center" vertical="center"/>
    </xf>
    <xf numFmtId="0" fontId="59" fillId="0" borderId="0" xfId="0" applyFont="1" applyFill="1" applyBorder="1" applyAlignment="1">
      <alignment vertical="center"/>
    </xf>
    <xf numFmtId="0" fontId="0" fillId="0" borderId="0" xfId="0" applyFill="1"/>
    <xf numFmtId="0" fontId="131" fillId="0" borderId="56" xfId="0" applyFont="1" applyBorder="1" applyAlignment="1"/>
    <xf numFmtId="0" fontId="132" fillId="0" borderId="0" xfId="50" applyFont="1" applyFill="1" applyBorder="1" applyAlignment="1">
      <alignment horizontal="center" vertical="center"/>
    </xf>
    <xf numFmtId="0" fontId="53" fillId="0" borderId="27" xfId="50" applyFont="1" applyBorder="1" applyAlignment="1">
      <alignment horizontal="center" vertical="center"/>
    </xf>
    <xf numFmtId="0" fontId="40" fillId="0" borderId="0" xfId="0" applyFont="1"/>
    <xf numFmtId="0" fontId="52" fillId="6" borderId="0" xfId="50" applyFont="1" applyFill="1" applyAlignment="1">
      <alignment vertical="center"/>
    </xf>
    <xf numFmtId="0" fontId="42" fillId="6" borderId="0" xfId="0" applyFont="1" applyFill="1" applyBorder="1"/>
    <xf numFmtId="0" fontId="52" fillId="6" borderId="0" xfId="50" applyFont="1" applyFill="1"/>
    <xf numFmtId="0" fontId="42" fillId="6" borderId="0" xfId="0" applyFont="1" applyFill="1" applyAlignment="1">
      <alignment vertical="center"/>
    </xf>
    <xf numFmtId="0" fontId="60" fillId="6" borderId="0" xfId="0" applyFont="1" applyFill="1" applyBorder="1"/>
    <xf numFmtId="0" fontId="123" fillId="6" borderId="0" xfId="0" applyFont="1" applyFill="1" applyAlignment="1">
      <alignment horizontal="center"/>
    </xf>
    <xf numFmtId="166" fontId="44" fillId="6" borderId="0" xfId="0" applyNumberFormat="1" applyFont="1" applyFill="1" applyBorder="1" applyAlignment="1">
      <alignment horizontal="center" vertical="center"/>
    </xf>
    <xf numFmtId="0" fontId="52" fillId="6" borderId="23" xfId="50" applyFont="1" applyFill="1" applyBorder="1" applyAlignment="1">
      <alignment vertical="center"/>
    </xf>
    <xf numFmtId="0" fontId="52" fillId="6" borderId="15" xfId="50" applyFont="1" applyFill="1" applyBorder="1"/>
    <xf numFmtId="0" fontId="52" fillId="6" borderId="16" xfId="50" applyFont="1" applyFill="1" applyBorder="1"/>
    <xf numFmtId="0" fontId="0" fillId="6" borderId="275" xfId="0" applyFill="1" applyBorder="1"/>
    <xf numFmtId="0" fontId="0" fillId="6" borderId="0" xfId="0" applyFill="1" applyBorder="1"/>
    <xf numFmtId="0" fontId="92" fillId="0" borderId="0" xfId="0" applyFont="1" applyFill="1" applyBorder="1" applyAlignment="1">
      <alignment horizontal="center" vertical="center"/>
    </xf>
    <xf numFmtId="0" fontId="135" fillId="0" borderId="282" xfId="0" applyFont="1" applyBorder="1" applyAlignment="1"/>
    <xf numFmtId="0" fontId="55"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right" vertical="center"/>
    </xf>
    <xf numFmtId="166" fontId="70" fillId="0" borderId="0" xfId="0" applyNumberFormat="1" applyFont="1" applyBorder="1" applyAlignment="1">
      <alignment horizontal="center" vertical="center"/>
    </xf>
    <xf numFmtId="0" fontId="0" fillId="0" borderId="0" xfId="0" applyBorder="1" applyAlignment="1">
      <alignment horizontal="left" vertical="center" textRotation="90"/>
    </xf>
    <xf numFmtId="0" fontId="125" fillId="6" borderId="0" xfId="50" applyFont="1" applyFill="1" applyBorder="1" applyAlignment="1">
      <alignment horizontal="center" vertical="center" wrapText="1"/>
    </xf>
    <xf numFmtId="0" fontId="46" fillId="6" borderId="0" xfId="50" applyFont="1" applyFill="1" applyBorder="1" applyAlignment="1">
      <alignment horizontal="center" vertical="center"/>
    </xf>
    <xf numFmtId="0" fontId="46" fillId="6" borderId="0" xfId="50" applyFont="1" applyFill="1" applyBorder="1" applyAlignment="1">
      <alignment horizontal="center"/>
    </xf>
    <xf numFmtId="0" fontId="48" fillId="6" borderId="25" xfId="0" applyFont="1" applyFill="1" applyBorder="1" applyAlignment="1">
      <alignment horizontal="center" vertical="top" wrapText="1"/>
    </xf>
    <xf numFmtId="0" fontId="48" fillId="6" borderId="26" xfId="0" applyFont="1" applyFill="1" applyBorder="1" applyAlignment="1">
      <alignment horizontal="center" vertical="top" wrapText="1"/>
    </xf>
    <xf numFmtId="0" fontId="43" fillId="6" borderId="15" xfId="50" applyFont="1" applyFill="1" applyBorder="1" applyAlignment="1">
      <alignment vertical="top"/>
    </xf>
    <xf numFmtId="0" fontId="53" fillId="6" borderId="0" xfId="50" applyFont="1" applyFill="1" applyBorder="1" applyAlignment="1">
      <alignment horizontal="center" vertical="center" wrapText="1"/>
    </xf>
    <xf numFmtId="0" fontId="59" fillId="0" borderId="0" xfId="0" applyFont="1" applyAlignment="1"/>
    <xf numFmtId="0" fontId="142" fillId="0" borderId="0" xfId="0" applyFont="1" applyFill="1"/>
    <xf numFmtId="0" fontId="51" fillId="0" borderId="0" xfId="0" applyFont="1" applyBorder="1" applyAlignment="1">
      <alignment horizontal="left"/>
    </xf>
    <xf numFmtId="0" fontId="146" fillId="0" borderId="0" xfId="0" applyFont="1" applyFill="1" applyAlignment="1">
      <alignment horizontal="right"/>
    </xf>
    <xf numFmtId="0" fontId="70" fillId="8" borderId="22" xfId="0" applyFont="1" applyFill="1" applyBorder="1" applyAlignment="1">
      <alignment horizontal="center" vertical="center" wrapText="1"/>
    </xf>
    <xf numFmtId="0" fontId="70" fillId="8" borderId="22" xfId="0" applyFont="1" applyFill="1" applyBorder="1" applyAlignment="1">
      <alignment horizontal="center" vertical="center"/>
    </xf>
    <xf numFmtId="10" fontId="59" fillId="0" borderId="0" xfId="0" applyNumberFormat="1" applyFont="1"/>
    <xf numFmtId="0" fontId="59" fillId="0" borderId="0" xfId="0" applyFont="1" applyAlignment="1">
      <alignment horizontal="right" vertical="center"/>
    </xf>
    <xf numFmtId="0" fontId="148" fillId="0" borderId="0" xfId="0" applyFont="1"/>
    <xf numFmtId="166" fontId="148" fillId="0" borderId="0" xfId="0" applyNumberFormat="1" applyFont="1"/>
    <xf numFmtId="0" fontId="64" fillId="0" borderId="0" xfId="0" applyFont="1" applyAlignment="1">
      <alignment horizontal="left" vertical="top"/>
    </xf>
    <xf numFmtId="0" fontId="72" fillId="0" borderId="0" xfId="50" applyFont="1" applyAlignment="1">
      <alignment vertical="top"/>
    </xf>
    <xf numFmtId="0" fontId="52" fillId="0" borderId="0" xfId="0" applyFont="1" applyBorder="1" applyAlignment="1">
      <alignment horizontal="center" vertical="center"/>
    </xf>
    <xf numFmtId="0" fontId="157" fillId="2" borderId="0" xfId="0" applyFont="1" applyFill="1" applyAlignment="1">
      <alignment horizontal="center"/>
    </xf>
    <xf numFmtId="0" fontId="157" fillId="2" borderId="0" xfId="0" applyFont="1" applyFill="1" applyAlignment="1">
      <alignment horizontal="left"/>
    </xf>
    <xf numFmtId="0" fontId="159" fillId="2" borderId="18" xfId="50" applyFont="1" applyFill="1" applyBorder="1" applyAlignment="1">
      <alignment horizontal="left" vertical="center"/>
    </xf>
    <xf numFmtId="0" fontId="158" fillId="2" borderId="19" xfId="50" applyFont="1" applyFill="1" applyBorder="1"/>
    <xf numFmtId="0" fontId="160" fillId="2" borderId="19" xfId="50" applyFont="1" applyFill="1" applyBorder="1" applyAlignment="1">
      <alignment horizontal="center" vertical="center"/>
    </xf>
    <xf numFmtId="0" fontId="158" fillId="6" borderId="14" xfId="50" applyFont="1" applyFill="1" applyBorder="1"/>
    <xf numFmtId="0" fontId="158" fillId="6" borderId="15" xfId="50" applyFont="1" applyFill="1" applyBorder="1"/>
    <xf numFmtId="0" fontId="158" fillId="6" borderId="16" xfId="50" applyFont="1" applyFill="1" applyBorder="1"/>
    <xf numFmtId="0" fontId="0" fillId="9" borderId="0" xfId="0" applyFill="1" applyBorder="1"/>
    <xf numFmtId="0" fontId="70" fillId="13" borderId="27" xfId="0" applyFont="1" applyFill="1" applyBorder="1" applyAlignment="1">
      <alignment horizontal="center" vertical="center"/>
    </xf>
    <xf numFmtId="0" fontId="82" fillId="2" borderId="27" xfId="50" quotePrefix="1" applyFont="1" applyFill="1" applyBorder="1" applyAlignment="1">
      <alignment horizontal="right" vertical="center"/>
    </xf>
    <xf numFmtId="0" fontId="79" fillId="2" borderId="53" xfId="50" applyFont="1" applyFill="1" applyBorder="1" applyAlignment="1">
      <alignment horizontal="center" vertical="center"/>
    </xf>
    <xf numFmtId="0" fontId="82" fillId="2" borderId="272" xfId="0" applyFont="1" applyFill="1" applyBorder="1" applyAlignment="1">
      <alignment horizontal="center" vertical="center"/>
    </xf>
    <xf numFmtId="0" fontId="82" fillId="2" borderId="273" xfId="0" applyFont="1" applyFill="1" applyBorder="1" applyAlignment="1">
      <alignment horizontal="center" vertical="center"/>
    </xf>
    <xf numFmtId="0" fontId="82" fillId="2" borderId="22" xfId="0" applyFont="1" applyFill="1" applyBorder="1" applyAlignment="1">
      <alignment horizontal="center" vertical="center" wrapText="1"/>
    </xf>
    <xf numFmtId="0" fontId="145" fillId="6" borderId="0" xfId="50" applyFont="1" applyFill="1" applyBorder="1" applyAlignment="1">
      <alignment horizontal="center" vertical="center"/>
    </xf>
    <xf numFmtId="0" fontId="46" fillId="0" borderId="25" xfId="50" applyFont="1" applyFill="1" applyBorder="1"/>
    <xf numFmtId="0" fontId="46" fillId="6" borderId="86" xfId="50" applyFont="1" applyFill="1" applyBorder="1"/>
    <xf numFmtId="0" fontId="46" fillId="6" borderId="21" xfId="50" applyFont="1" applyFill="1" applyBorder="1"/>
    <xf numFmtId="0" fontId="46" fillId="0" borderId="18" xfId="50" applyFont="1" applyFill="1" applyBorder="1"/>
    <xf numFmtId="0" fontId="84" fillId="8" borderId="21" xfId="0" applyFont="1" applyFill="1" applyBorder="1" applyAlignment="1">
      <alignment horizontal="center" vertical="center"/>
    </xf>
    <xf numFmtId="0" fontId="94" fillId="8" borderId="22" xfId="50" applyFont="1" applyFill="1" applyBorder="1" applyAlignment="1">
      <alignment horizontal="center" vertical="center"/>
    </xf>
    <xf numFmtId="0" fontId="155" fillId="0" borderId="20" xfId="0" applyFont="1" applyBorder="1" applyAlignment="1">
      <alignment horizontal="right" vertical="center"/>
    </xf>
    <xf numFmtId="0" fontId="155" fillId="0" borderId="27" xfId="0" applyFont="1" applyBorder="1" applyAlignment="1">
      <alignment horizontal="right" vertical="center"/>
    </xf>
    <xf numFmtId="0" fontId="166" fillId="0" borderId="0" xfId="50" applyFont="1" applyAlignment="1">
      <alignment horizontal="right" vertical="center"/>
    </xf>
    <xf numFmtId="0" fontId="59" fillId="6" borderId="240" xfId="0" applyFont="1" applyFill="1" applyBorder="1" applyAlignment="1">
      <alignment vertical="center"/>
    </xf>
    <xf numFmtId="0" fontId="71" fillId="8" borderId="231" xfId="0" applyFont="1" applyFill="1" applyBorder="1" applyAlignment="1">
      <alignment horizontal="center" vertical="center" wrapText="1"/>
    </xf>
    <xf numFmtId="166" fontId="92" fillId="8" borderId="8" xfId="0" applyNumberFormat="1" applyFont="1" applyFill="1" applyBorder="1" applyAlignment="1">
      <alignment horizontal="center" vertical="center"/>
    </xf>
    <xf numFmtId="166" fontId="92" fillId="8" borderId="133" xfId="0" applyNumberFormat="1" applyFont="1" applyFill="1" applyBorder="1" applyAlignment="1">
      <alignment horizontal="center" vertical="center"/>
    </xf>
    <xf numFmtId="0" fontId="52" fillId="6" borderId="25" xfId="50" applyFont="1" applyFill="1" applyBorder="1" applyAlignment="1">
      <alignment vertical="center"/>
    </xf>
    <xf numFmtId="0" fontId="52" fillId="6" borderId="27" xfId="50" applyFont="1" applyFill="1" applyBorder="1" applyAlignment="1">
      <alignment vertical="center"/>
    </xf>
    <xf numFmtId="0" fontId="58" fillId="6" borderId="14" xfId="50" applyFont="1" applyFill="1" applyBorder="1" applyAlignment="1">
      <alignment horizontal="center" vertical="center" wrapText="1"/>
    </xf>
    <xf numFmtId="0" fontId="58" fillId="0" borderId="0" xfId="64" applyFont="1" applyAlignment="1">
      <alignment vertical="center"/>
    </xf>
    <xf numFmtId="0" fontId="43" fillId="0" borderId="0" xfId="64" applyAlignment="1">
      <alignment vertical="center"/>
    </xf>
    <xf numFmtId="171" fontId="43" fillId="0" borderId="0" xfId="64" applyNumberFormat="1" applyAlignment="1">
      <alignment horizontal="left" vertical="center"/>
    </xf>
    <xf numFmtId="49" fontId="43" fillId="0" borderId="0" xfId="64" applyNumberFormat="1" applyAlignment="1">
      <alignment horizontal="center" vertical="center"/>
    </xf>
    <xf numFmtId="0" fontId="139" fillId="0" borderId="0" xfId="0" applyFont="1" applyAlignment="1">
      <alignment horizontal="left"/>
    </xf>
    <xf numFmtId="0" fontId="121" fillId="0" borderId="0" xfId="64" applyFont="1" applyBorder="1" applyAlignment="1">
      <alignment vertical="center" wrapText="1"/>
    </xf>
    <xf numFmtId="0" fontId="174" fillId="2" borderId="0" xfId="64" applyFont="1" applyFill="1" applyAlignment="1">
      <alignment horizontal="center" vertical="center"/>
    </xf>
    <xf numFmtId="0" fontId="43" fillId="0" borderId="10" xfId="64" applyFill="1" applyBorder="1" applyAlignment="1">
      <alignment horizontal="left" vertical="center" indent="1"/>
    </xf>
    <xf numFmtId="0" fontId="43" fillId="0" borderId="12" xfId="64" applyFill="1" applyBorder="1" applyAlignment="1">
      <alignment horizontal="left" vertical="center" indent="1"/>
    </xf>
    <xf numFmtId="0" fontId="43" fillId="0" borderId="7" xfId="64" applyFill="1" applyBorder="1" applyAlignment="1">
      <alignment horizontal="left" vertical="center" indent="1"/>
    </xf>
    <xf numFmtId="0" fontId="170" fillId="2" borderId="4" xfId="64" applyFont="1" applyFill="1" applyBorder="1" applyAlignment="1">
      <alignment horizontal="center" vertical="center" wrapText="1"/>
    </xf>
    <xf numFmtId="171" fontId="170" fillId="2" borderId="5" xfId="64" applyNumberFormat="1" applyFont="1" applyFill="1" applyBorder="1" applyAlignment="1">
      <alignment horizontal="center" vertical="center" wrapText="1"/>
    </xf>
    <xf numFmtId="0" fontId="170" fillId="2" borderId="6" xfId="64" applyFont="1" applyFill="1" applyBorder="1" applyAlignment="1">
      <alignment horizontal="center" vertical="center" wrapText="1"/>
    </xf>
    <xf numFmtId="0" fontId="170" fillId="3" borderId="5" xfId="64" applyFont="1" applyFill="1" applyBorder="1" applyAlignment="1">
      <alignment horizontal="center" vertical="center" wrapText="1"/>
    </xf>
    <xf numFmtId="0" fontId="84" fillId="0" borderId="22" xfId="50" applyFont="1" applyFill="1" applyBorder="1" applyAlignment="1">
      <alignment horizontal="center" vertical="center" wrapText="1"/>
    </xf>
    <xf numFmtId="0" fontId="84" fillId="0" borderId="22" xfId="0" applyFont="1" applyFill="1" applyBorder="1" applyAlignment="1">
      <alignment horizontal="center" vertical="center" wrapText="1"/>
    </xf>
    <xf numFmtId="0" fontId="64" fillId="0" borderId="0" xfId="0" applyFont="1" applyBorder="1" applyAlignment="1">
      <alignment horizontal="center" vertical="center"/>
    </xf>
    <xf numFmtId="0" fontId="150" fillId="0" borderId="0" xfId="0" applyFont="1" applyFill="1" applyBorder="1" applyAlignment="1">
      <alignment horizontal="center" vertical="center"/>
    </xf>
    <xf numFmtId="0" fontId="85" fillId="0" borderId="0" xfId="50" applyFont="1" applyBorder="1" applyAlignment="1">
      <alignment horizontal="center" vertical="center"/>
    </xf>
    <xf numFmtId="0" fontId="92" fillId="10" borderId="22" xfId="50" applyFont="1" applyFill="1" applyBorder="1" applyAlignment="1">
      <alignment horizontal="center" vertical="center"/>
    </xf>
    <xf numFmtId="0" fontId="92" fillId="10" borderId="25" xfId="50" applyFont="1" applyFill="1" applyBorder="1" applyAlignment="1">
      <alignment horizontal="center" vertical="center"/>
    </xf>
    <xf numFmtId="0" fontId="177" fillId="8" borderId="22" xfId="50" applyFont="1" applyFill="1" applyBorder="1" applyAlignment="1">
      <alignment horizontal="center" vertical="center"/>
    </xf>
    <xf numFmtId="0" fontId="51" fillId="0" borderId="22" xfId="0" applyFont="1" applyBorder="1" applyAlignment="1">
      <alignment horizontal="center" vertical="center"/>
    </xf>
    <xf numFmtId="0" fontId="51" fillId="0" borderId="22" xfId="50" applyFont="1" applyFill="1" applyBorder="1" applyAlignment="1">
      <alignment horizontal="center" vertical="center"/>
    </xf>
    <xf numFmtId="0" fontId="92" fillId="0" borderId="0" xfId="0" applyFont="1" applyAlignment="1">
      <alignment vertical="center"/>
    </xf>
    <xf numFmtId="0" fontId="92" fillId="0" borderId="0" xfId="0" applyFont="1"/>
    <xf numFmtId="0" fontId="89" fillId="0" borderId="0" xfId="50" applyFont="1" applyFill="1" applyBorder="1" applyAlignment="1">
      <alignment vertical="center"/>
    </xf>
    <xf numFmtId="0" fontId="89" fillId="0" borderId="0" xfId="50" applyFont="1" applyFill="1" applyBorder="1"/>
    <xf numFmtId="0" fontId="133" fillId="0" borderId="0" xfId="50" applyFont="1" applyFill="1" applyBorder="1"/>
    <xf numFmtId="0" fontId="36" fillId="0" borderId="0" xfId="0" applyFont="1" applyAlignment="1">
      <alignment vertical="center"/>
    </xf>
    <xf numFmtId="0" fontId="90" fillId="0" borderId="22" xfId="50" applyFont="1" applyFill="1" applyBorder="1" applyAlignment="1">
      <alignment horizontal="center" vertical="center"/>
    </xf>
    <xf numFmtId="9" fontId="90" fillId="0" borderId="17" xfId="50" applyNumberFormat="1" applyFont="1" applyFill="1" applyBorder="1" applyAlignment="1">
      <alignment horizontal="center" vertical="center"/>
    </xf>
    <xf numFmtId="0" fontId="151" fillId="8" borderId="53" xfId="0" applyFont="1" applyFill="1" applyBorder="1" applyAlignment="1">
      <alignment horizontal="center" vertical="center"/>
    </xf>
    <xf numFmtId="0" fontId="147" fillId="8" borderId="53" xfId="0" applyFont="1" applyFill="1" applyBorder="1" applyAlignment="1">
      <alignment horizontal="center" vertical="center"/>
    </xf>
    <xf numFmtId="0" fontId="172" fillId="2" borderId="0" xfId="64" applyNumberFormat="1" applyFont="1" applyFill="1" applyAlignment="1">
      <alignment horizontal="center" vertical="center"/>
    </xf>
    <xf numFmtId="0" fontId="43" fillId="0" borderId="0" xfId="64" applyNumberFormat="1" applyAlignment="1">
      <alignment horizontal="center" vertical="center"/>
    </xf>
    <xf numFmtId="1" fontId="172" fillId="2" borderId="0" xfId="64" applyNumberFormat="1" applyFont="1" applyFill="1" applyAlignment="1">
      <alignment horizontal="center" vertical="center"/>
    </xf>
    <xf numFmtId="1" fontId="170" fillId="3" borderId="5" xfId="64" applyNumberFormat="1" applyFont="1" applyFill="1" applyBorder="1" applyAlignment="1">
      <alignment horizontal="center" vertical="center" wrapText="1"/>
    </xf>
    <xf numFmtId="1" fontId="43" fillId="0" borderId="0" xfId="64" applyNumberFormat="1" applyAlignment="1">
      <alignment horizontal="center" vertical="center"/>
    </xf>
    <xf numFmtId="0" fontId="43" fillId="0" borderId="0" xfId="64" applyAlignment="1">
      <alignment horizontal="center" vertical="center"/>
    </xf>
    <xf numFmtId="0" fontId="64" fillId="0" borderId="37" xfId="0" applyFont="1" applyBorder="1" applyAlignment="1">
      <alignment vertical="center"/>
    </xf>
    <xf numFmtId="0" fontId="0" fillId="0" borderId="38" xfId="0" applyBorder="1" applyAlignment="1"/>
    <xf numFmtId="0" fontId="170" fillId="3" borderId="5" xfId="64" applyNumberFormat="1" applyFont="1" applyFill="1" applyBorder="1" applyAlignment="1">
      <alignment horizontal="center" vertical="center" wrapText="1"/>
    </xf>
    <xf numFmtId="49" fontId="170" fillId="3" borderId="5" xfId="64" applyNumberFormat="1" applyFont="1" applyFill="1" applyBorder="1" applyAlignment="1">
      <alignment horizontal="center" vertical="center" wrapText="1"/>
    </xf>
    <xf numFmtId="0" fontId="179" fillId="0" borderId="15" xfId="50" applyFont="1" applyFill="1" applyBorder="1" applyAlignment="1">
      <alignment horizontal="center" vertical="center" wrapText="1"/>
    </xf>
    <xf numFmtId="0" fontId="0" fillId="0" borderId="0" xfId="0" applyAlignment="1">
      <alignment horizontal="center"/>
    </xf>
    <xf numFmtId="0" fontId="0" fillId="0" borderId="0" xfId="0" applyAlignment="1">
      <alignment horizontal="right"/>
    </xf>
    <xf numFmtId="0" fontId="107" fillId="4" borderId="8" xfId="64" applyFont="1" applyFill="1" applyBorder="1" applyAlignment="1" applyProtection="1">
      <alignment vertical="center"/>
      <protection locked="0"/>
    </xf>
    <xf numFmtId="0" fontId="107" fillId="4" borderId="8" xfId="64" applyNumberFormat="1" applyFont="1" applyFill="1" applyBorder="1" applyAlignment="1" applyProtection="1">
      <alignment horizontal="center" vertical="center"/>
      <protection locked="0"/>
    </xf>
    <xf numFmtId="0" fontId="107" fillId="4" borderId="8" xfId="64" quotePrefix="1" applyNumberFormat="1" applyFont="1" applyFill="1" applyBorder="1" applyAlignment="1" applyProtection="1">
      <alignment horizontal="center" vertical="center"/>
      <protection locked="0"/>
    </xf>
    <xf numFmtId="171" fontId="107" fillId="4" borderId="8" xfId="64" quotePrefix="1" applyNumberFormat="1" applyFont="1" applyFill="1" applyBorder="1" applyAlignment="1" applyProtection="1">
      <alignment horizontal="left" vertical="center"/>
      <protection locked="0"/>
    </xf>
    <xf numFmtId="0" fontId="107" fillId="4" borderId="8" xfId="64" applyFont="1" applyFill="1" applyBorder="1" applyAlignment="1" applyProtection="1">
      <alignment horizontal="center" vertical="center"/>
      <protection locked="0"/>
    </xf>
    <xf numFmtId="49" fontId="107" fillId="4" borderId="8" xfId="64" applyNumberFormat="1" applyFont="1" applyFill="1" applyBorder="1" applyAlignment="1" applyProtection="1">
      <alignment horizontal="center" vertical="center"/>
      <protection locked="0"/>
    </xf>
    <xf numFmtId="1" fontId="107" fillId="4" borderId="8" xfId="64" applyNumberFormat="1" applyFont="1" applyFill="1" applyBorder="1" applyAlignment="1" applyProtection="1">
      <alignment horizontal="center" vertical="center"/>
      <protection locked="0"/>
    </xf>
    <xf numFmtId="0" fontId="110" fillId="4" borderId="9" xfId="64" applyFont="1" applyFill="1" applyBorder="1" applyAlignment="1" applyProtection="1">
      <alignment vertical="center"/>
      <protection locked="0"/>
    </xf>
    <xf numFmtId="0" fontId="55" fillId="0" borderId="38" xfId="0" applyFont="1" applyBorder="1" applyAlignment="1">
      <alignment vertical="center" wrapText="1"/>
    </xf>
    <xf numFmtId="0" fontId="55" fillId="0" borderId="38" xfId="0" applyFont="1" applyBorder="1" applyAlignment="1">
      <alignment vertical="center"/>
    </xf>
    <xf numFmtId="0" fontId="55" fillId="0" borderId="38" xfId="0" applyFont="1" applyBorder="1" applyAlignment="1">
      <alignment horizontal="left" vertical="center"/>
    </xf>
    <xf numFmtId="0" fontId="51" fillId="7" borderId="22" xfId="0" applyFont="1" applyFill="1" applyBorder="1" applyAlignment="1">
      <alignment horizontal="right" vertical="center" wrapText="1"/>
    </xf>
    <xf numFmtId="0" fontId="52" fillId="0" borderId="147" xfId="0" applyFont="1" applyFill="1" applyBorder="1" applyAlignment="1">
      <alignment horizontal="center" vertical="center"/>
    </xf>
    <xf numFmtId="0" fontId="52" fillId="8" borderId="214" xfId="0" applyFont="1" applyFill="1" applyBorder="1" applyAlignment="1">
      <alignment horizontal="center" vertical="center"/>
    </xf>
    <xf numFmtId="167" fontId="52" fillId="0" borderId="147" xfId="0" applyNumberFormat="1" applyFont="1" applyFill="1" applyBorder="1" applyAlignment="1">
      <alignment horizontal="center" vertical="center"/>
    </xf>
    <xf numFmtId="164" fontId="52" fillId="0" borderId="141" xfId="0" applyNumberFormat="1" applyFont="1" applyFill="1" applyBorder="1" applyAlignment="1">
      <alignment horizontal="center" vertical="center"/>
    </xf>
    <xf numFmtId="0" fontId="52" fillId="0" borderId="23" xfId="0" applyFont="1" applyFill="1" applyBorder="1" applyAlignment="1">
      <alignment horizontal="center" vertical="center"/>
    </xf>
    <xf numFmtId="0" fontId="52" fillId="8" borderId="86" xfId="0" applyFont="1" applyFill="1" applyBorder="1" applyAlignment="1">
      <alignment horizontal="center" vertical="center"/>
    </xf>
    <xf numFmtId="167" fontId="52" fillId="0" borderId="23" xfId="0" applyNumberFormat="1" applyFont="1" applyFill="1" applyBorder="1" applyAlignment="1">
      <alignment horizontal="center" vertical="center"/>
    </xf>
    <xf numFmtId="164" fontId="52" fillId="0" borderId="120" xfId="0" applyNumberFormat="1" applyFont="1" applyFill="1" applyBorder="1" applyAlignment="1">
      <alignment horizontal="center" vertical="center"/>
    </xf>
    <xf numFmtId="0" fontId="52" fillId="0" borderId="78" xfId="0" applyFont="1" applyFill="1" applyBorder="1" applyAlignment="1">
      <alignment horizontal="center" vertical="center"/>
    </xf>
    <xf numFmtId="0" fontId="52" fillId="8" borderId="80" xfId="0" applyFont="1" applyFill="1" applyBorder="1" applyAlignment="1">
      <alignment horizontal="center" vertical="center"/>
    </xf>
    <xf numFmtId="167" fontId="52" fillId="0" borderId="78" xfId="0" applyNumberFormat="1" applyFont="1" applyFill="1" applyBorder="1" applyAlignment="1">
      <alignment horizontal="center" vertical="center"/>
    </xf>
    <xf numFmtId="164" fontId="52" fillId="0" borderId="79" xfId="0" applyNumberFormat="1" applyFont="1" applyFill="1" applyBorder="1" applyAlignment="1">
      <alignment horizontal="center" vertical="center"/>
    </xf>
    <xf numFmtId="165" fontId="52" fillId="6" borderId="24" xfId="0" applyNumberFormat="1" applyFont="1" applyFill="1" applyBorder="1"/>
    <xf numFmtId="0" fontId="55" fillId="0" borderId="0" xfId="0" applyFont="1" applyBorder="1" applyAlignment="1">
      <alignment vertical="center"/>
    </xf>
    <xf numFmtId="0" fontId="140" fillId="0" borderId="0" xfId="0" applyFont="1"/>
    <xf numFmtId="173" fontId="35" fillId="0" borderId="11" xfId="0" applyNumberFormat="1" applyFont="1" applyBorder="1" applyAlignment="1">
      <alignment vertical="center"/>
    </xf>
    <xf numFmtId="1" fontId="171" fillId="2" borderId="1" xfId="64" applyNumberFormat="1" applyFont="1" applyFill="1" applyBorder="1" applyAlignment="1">
      <alignment horizontal="center" vertical="center"/>
    </xf>
    <xf numFmtId="1" fontId="0" fillId="2" borderId="1" xfId="0" applyNumberFormat="1" applyFill="1" applyBorder="1" applyAlignment="1">
      <alignment horizontal="center" vertical="center"/>
    </xf>
    <xf numFmtId="1" fontId="107" fillId="2" borderId="2" xfId="64" applyNumberFormat="1" applyFont="1" applyFill="1" applyBorder="1" applyAlignment="1">
      <alignment horizontal="center" vertical="center"/>
    </xf>
    <xf numFmtId="1" fontId="64" fillId="2" borderId="2" xfId="0" applyNumberFormat="1" applyFont="1" applyFill="1" applyBorder="1" applyAlignment="1">
      <alignment horizontal="center" vertical="center"/>
    </xf>
    <xf numFmtId="1" fontId="173" fillId="2" borderId="3" xfId="64" applyNumberFormat="1" applyFont="1" applyFill="1" applyBorder="1" applyAlignment="1">
      <alignment horizontal="center" vertical="center"/>
    </xf>
    <xf numFmtId="1" fontId="0" fillId="2" borderId="3" xfId="0" applyNumberFormat="1" applyFill="1" applyBorder="1" applyAlignment="1">
      <alignment horizontal="center" vertical="center"/>
    </xf>
    <xf numFmtId="49" fontId="64" fillId="0" borderId="39" xfId="0" applyNumberFormat="1" applyFont="1" applyBorder="1" applyAlignment="1">
      <alignment vertical="center"/>
    </xf>
    <xf numFmtId="49" fontId="64" fillId="0" borderId="39" xfId="0" applyNumberFormat="1" applyFont="1" applyBorder="1" applyAlignment="1">
      <alignment horizontal="left" vertical="center"/>
    </xf>
    <xf numFmtId="0" fontId="59" fillId="0" borderId="281" xfId="0" applyFont="1" applyBorder="1"/>
    <xf numFmtId="0" fontId="41" fillId="0" borderId="281" xfId="0" applyFont="1" applyBorder="1"/>
    <xf numFmtId="1" fontId="0" fillId="2" borderId="0" xfId="0" applyNumberFormat="1" applyFill="1" applyBorder="1" applyAlignment="1">
      <alignment horizontal="center" vertical="center"/>
    </xf>
    <xf numFmtId="1" fontId="64" fillId="2" borderId="0" xfId="0" applyNumberFormat="1" applyFont="1" applyFill="1" applyBorder="1" applyAlignment="1">
      <alignment horizontal="center" vertical="center"/>
    </xf>
    <xf numFmtId="0" fontId="84" fillId="9" borderId="153" xfId="0" applyFont="1" applyFill="1" applyBorder="1" applyAlignment="1">
      <alignment horizontal="center" vertical="center" wrapText="1"/>
    </xf>
    <xf numFmtId="0" fontId="83" fillId="0" borderId="0" xfId="0" applyFont="1"/>
    <xf numFmtId="0" fontId="152" fillId="2" borderId="85" xfId="0" applyFont="1" applyFill="1" applyBorder="1" applyAlignment="1">
      <alignment horizontal="center" vertical="center"/>
    </xf>
    <xf numFmtId="0" fontId="84" fillId="0" borderId="159" xfId="0" applyFont="1" applyBorder="1" applyAlignment="1">
      <alignment horizontal="center" vertical="center"/>
    </xf>
    <xf numFmtId="0" fontId="84" fillId="0" borderId="165" xfId="0" applyFont="1" applyBorder="1" applyAlignment="1">
      <alignment horizontal="center" vertical="center"/>
    </xf>
    <xf numFmtId="0" fontId="189" fillId="0" borderId="0" xfId="0" applyFont="1"/>
    <xf numFmtId="0" fontId="188" fillId="0" borderId="0" xfId="0" applyFont="1"/>
    <xf numFmtId="0" fontId="180" fillId="0" borderId="0" xfId="59" applyAlignment="1" applyProtection="1"/>
    <xf numFmtId="0" fontId="190" fillId="0" borderId="0" xfId="0" applyFont="1"/>
    <xf numFmtId="0" fontId="139" fillId="0" borderId="0" xfId="0" applyFont="1"/>
    <xf numFmtId="0" fontId="67" fillId="0" borderId="0" xfId="0" applyFont="1" applyAlignment="1">
      <alignment vertical="center"/>
    </xf>
    <xf numFmtId="0" fontId="191" fillId="0" borderId="0" xfId="0" applyFont="1"/>
    <xf numFmtId="0" fontId="189" fillId="0" borderId="11" xfId="0" applyFont="1" applyBorder="1"/>
    <xf numFmtId="0" fontId="188" fillId="0" borderId="11" xfId="0" applyFont="1" applyBorder="1"/>
    <xf numFmtId="0" fontId="180" fillId="0" borderId="11" xfId="59" applyBorder="1" applyAlignment="1" applyProtection="1"/>
    <xf numFmtId="0" fontId="190" fillId="0" borderId="11" xfId="0" applyFont="1" applyBorder="1"/>
    <xf numFmtId="0" fontId="0" fillId="0" borderId="11" xfId="0" applyBorder="1"/>
    <xf numFmtId="0" fontId="189" fillId="0" borderId="13" xfId="0" applyFont="1" applyBorder="1"/>
    <xf numFmtId="0" fontId="188" fillId="0" borderId="13" xfId="0" applyFont="1" applyBorder="1"/>
    <xf numFmtId="0" fontId="190" fillId="0" borderId="13" xfId="0" applyFont="1" applyBorder="1"/>
    <xf numFmtId="0" fontId="0" fillId="0" borderId="38" xfId="0" applyBorder="1" applyAlignment="1">
      <alignment vertical="center"/>
    </xf>
    <xf numFmtId="0" fontId="193" fillId="0" borderId="0" xfId="50" applyFont="1"/>
    <xf numFmtId="0" fontId="168" fillId="6" borderId="15" xfId="50" applyFont="1" applyFill="1" applyBorder="1"/>
    <xf numFmtId="0" fontId="194" fillId="2" borderId="19" xfId="50" applyFont="1" applyFill="1" applyBorder="1" applyAlignment="1">
      <alignment horizontal="center" vertical="center"/>
    </xf>
    <xf numFmtId="0" fontId="50" fillId="0" borderId="0" xfId="0" applyFont="1" applyFill="1"/>
    <xf numFmtId="49" fontId="50" fillId="0" borderId="0" xfId="0" applyNumberFormat="1" applyFont="1"/>
    <xf numFmtId="0" fontId="137" fillId="0" borderId="220" xfId="0" applyFont="1" applyFill="1" applyBorder="1" applyAlignment="1">
      <alignment horizontal="center" vertical="top" wrapText="1"/>
    </xf>
    <xf numFmtId="0" fontId="137" fillId="0" borderId="221" xfId="0" applyFont="1" applyFill="1" applyBorder="1" applyAlignment="1">
      <alignment horizontal="center" vertical="top" wrapText="1"/>
    </xf>
    <xf numFmtId="0" fontId="59" fillId="0" borderId="0" xfId="0" applyFont="1" applyBorder="1" applyAlignment="1">
      <alignment vertical="center"/>
    </xf>
    <xf numFmtId="0" fontId="59" fillId="0" borderId="55" xfId="0" applyFont="1" applyBorder="1"/>
    <xf numFmtId="0" fontId="41" fillId="0" borderId="55" xfId="0" applyFont="1" applyBorder="1"/>
    <xf numFmtId="0" fontId="202" fillId="6" borderId="23" xfId="50" applyFont="1" applyFill="1" applyBorder="1" applyAlignment="1">
      <alignment horizontal="left" vertical="center"/>
    </xf>
    <xf numFmtId="0" fontId="202" fillId="6" borderId="96" xfId="50" applyFont="1" applyFill="1" applyBorder="1" applyAlignment="1">
      <alignment horizontal="left" vertical="center"/>
    </xf>
    <xf numFmtId="0" fontId="83" fillId="0" borderId="22" xfId="0" applyFont="1" applyBorder="1" applyAlignment="1">
      <alignment horizontal="center" vertical="center"/>
    </xf>
    <xf numFmtId="0" fontId="123" fillId="0" borderId="19" xfId="50" applyFont="1" applyBorder="1" applyAlignment="1">
      <alignment vertical="center"/>
    </xf>
    <xf numFmtId="2" fontId="101" fillId="0" borderId="0" xfId="0" applyNumberFormat="1" applyFont="1" applyBorder="1" applyAlignment="1">
      <alignment horizontal="left"/>
    </xf>
    <xf numFmtId="2" fontId="0" fillId="0" borderId="0" xfId="0" applyNumberFormat="1" applyAlignment="1"/>
    <xf numFmtId="0" fontId="0" fillId="0" borderId="22" xfId="0" applyBorder="1" applyAlignment="1">
      <alignment horizontal="center" vertical="center"/>
    </xf>
    <xf numFmtId="0" fontId="164" fillId="0" borderId="0" xfId="0" applyFont="1" applyBorder="1" applyAlignment="1"/>
    <xf numFmtId="0" fontId="203" fillId="0" borderId="0" xfId="0" applyFont="1" applyAlignment="1">
      <alignment horizontal="center" vertical="top"/>
    </xf>
    <xf numFmtId="166" fontId="59" fillId="0" borderId="0" xfId="0" applyNumberFormat="1" applyFont="1" applyBorder="1" applyAlignment="1"/>
    <xf numFmtId="10" fontId="0" fillId="0" borderId="86" xfId="0" applyNumberFormat="1" applyBorder="1" applyAlignment="1">
      <alignment horizontal="center" vertical="center"/>
    </xf>
    <xf numFmtId="2" fontId="33" fillId="0" borderId="86" xfId="0" applyNumberFormat="1" applyFont="1" applyBorder="1" applyAlignment="1">
      <alignment vertical="center"/>
    </xf>
    <xf numFmtId="10" fontId="0" fillId="0" borderId="11" xfId="0" applyNumberFormat="1" applyBorder="1" applyAlignment="1">
      <alignment horizontal="center" vertical="center"/>
    </xf>
    <xf numFmtId="2" fontId="0" fillId="0" borderId="11" xfId="0" applyNumberFormat="1" applyBorder="1" applyAlignment="1">
      <alignment vertical="center"/>
    </xf>
    <xf numFmtId="2" fontId="0" fillId="0" borderId="86" xfId="0" applyNumberFormat="1" applyBorder="1" applyAlignment="1">
      <alignment vertical="center"/>
    </xf>
    <xf numFmtId="10" fontId="0" fillId="0" borderId="0" xfId="0" applyNumberFormat="1" applyAlignment="1">
      <alignment horizontal="center" vertical="center"/>
    </xf>
    <xf numFmtId="10" fontId="0" fillId="0" borderId="17" xfId="0" applyNumberFormat="1" applyBorder="1" applyAlignment="1">
      <alignment horizontal="center" vertical="center"/>
    </xf>
    <xf numFmtId="0" fontId="0" fillId="0" borderId="0" xfId="0" applyBorder="1" applyAlignment="1">
      <alignment horizontal="right" vertical="center"/>
    </xf>
    <xf numFmtId="10" fontId="0" fillId="0" borderId="0" xfId="0" applyNumberFormat="1" applyBorder="1" applyAlignment="1">
      <alignment horizontal="center" vertical="center"/>
    </xf>
    <xf numFmtId="0" fontId="130" fillId="2" borderId="71" xfId="0" applyFont="1" applyFill="1" applyBorder="1" applyAlignment="1">
      <alignment horizontal="center" vertical="center" wrapText="1"/>
    </xf>
    <xf numFmtId="49" fontId="64" fillId="0" borderId="42" xfId="0" applyNumberFormat="1" applyFont="1" applyBorder="1" applyAlignment="1">
      <alignment vertical="center"/>
    </xf>
    <xf numFmtId="0" fontId="55" fillId="0" borderId="43" xfId="0" applyFont="1" applyBorder="1" applyAlignment="1">
      <alignment horizontal="left" vertical="center"/>
    </xf>
    <xf numFmtId="49" fontId="64" fillId="0" borderId="22" xfId="0" applyNumberFormat="1" applyFont="1" applyBorder="1" applyAlignment="1">
      <alignment vertical="center"/>
    </xf>
    <xf numFmtId="0" fontId="55" fillId="0" borderId="22" xfId="0" applyFont="1" applyBorder="1" applyAlignment="1">
      <alignment horizontal="left" vertical="center"/>
    </xf>
    <xf numFmtId="0" fontId="64" fillId="0" borderId="0" xfId="0" applyFont="1" applyAlignment="1">
      <alignment vertical="center"/>
    </xf>
    <xf numFmtId="0" fontId="70" fillId="0" borderId="0" xfId="0" applyFont="1" applyAlignment="1">
      <alignment horizontal="center" vertical="center"/>
    </xf>
    <xf numFmtId="173" fontId="0" fillId="0" borderId="11" xfId="0" applyNumberFormat="1" applyBorder="1" applyAlignment="1">
      <alignment vertical="center"/>
    </xf>
    <xf numFmtId="0" fontId="0" fillId="0" borderId="11" xfId="0" applyBorder="1" applyAlignment="1">
      <alignment horizontal="left" vertical="center"/>
    </xf>
    <xf numFmtId="0" fontId="204" fillId="2" borderId="0" xfId="0" applyFont="1" applyFill="1" applyAlignment="1">
      <alignment horizontal="center"/>
    </xf>
    <xf numFmtId="0" fontId="0" fillId="0" borderId="158" xfId="0" applyFill="1" applyBorder="1" applyAlignment="1">
      <alignment horizontal="left" vertical="center"/>
    </xf>
    <xf numFmtId="0" fontId="0" fillId="0" borderId="158" xfId="0" applyBorder="1" applyAlignment="1">
      <alignment vertical="center"/>
    </xf>
    <xf numFmtId="0" fontId="53" fillId="0" borderId="27" xfId="50" applyFont="1" applyBorder="1" applyAlignment="1">
      <alignment horizontal="center" vertical="center" wrapText="1"/>
    </xf>
    <xf numFmtId="0" fontId="64" fillId="0" borderId="0" xfId="50" applyFont="1"/>
    <xf numFmtId="0" fontId="207" fillId="2" borderId="0" xfId="0" applyFont="1" applyFill="1" applyAlignment="1">
      <alignment horizontal="center" vertical="center"/>
    </xf>
    <xf numFmtId="0" fontId="0" fillId="0" borderId="147" xfId="0" applyBorder="1"/>
    <xf numFmtId="0" fontId="0" fillId="0" borderId="121" xfId="0" applyBorder="1"/>
    <xf numFmtId="0" fontId="0" fillId="0" borderId="23" xfId="0" applyBorder="1"/>
    <xf numFmtId="0" fontId="0" fillId="0" borderId="128" xfId="0" applyBorder="1"/>
    <xf numFmtId="0" fontId="0" fillId="0" borderId="49" xfId="0" applyBorder="1"/>
    <xf numFmtId="0" fontId="0" fillId="0" borderId="48" xfId="0" applyBorder="1"/>
    <xf numFmtId="0" fontId="0" fillId="0" borderId="161" xfId="0" applyBorder="1"/>
    <xf numFmtId="0" fontId="64" fillId="0" borderId="0" xfId="0" applyFont="1" applyAlignment="1">
      <alignment horizontal="left"/>
    </xf>
    <xf numFmtId="0" fontId="0" fillId="0" borderId="0" xfId="0" applyAlignment="1">
      <alignment horizontal="left"/>
    </xf>
    <xf numFmtId="0" fontId="0" fillId="0" borderId="0" xfId="0" applyAlignment="1">
      <alignment horizontal="left" vertical="top"/>
    </xf>
    <xf numFmtId="0" fontId="97" fillId="0" borderId="0" xfId="0" applyFont="1" applyAlignment="1">
      <alignment horizontal="justify" wrapText="1"/>
    </xf>
    <xf numFmtId="166" fontId="70" fillId="0" borderId="22" xfId="0" applyNumberFormat="1" applyFont="1" applyBorder="1" applyAlignment="1">
      <alignment horizontal="center" vertical="center"/>
    </xf>
    <xf numFmtId="0" fontId="78" fillId="6" borderId="18" xfId="0" applyFont="1" applyFill="1" applyBorder="1" applyAlignment="1">
      <alignment horizontal="right" vertical="center"/>
    </xf>
    <xf numFmtId="0" fontId="209" fillId="0" borderId="0" xfId="0" applyFont="1" applyAlignment="1">
      <alignment vertical="center"/>
    </xf>
    <xf numFmtId="0" fontId="127" fillId="0" borderId="0" xfId="0" applyFont="1" applyAlignment="1"/>
    <xf numFmtId="0" fontId="0" fillId="0" borderId="45" xfId="0" applyBorder="1" applyAlignment="1">
      <alignment horizontal="center" vertical="center"/>
    </xf>
    <xf numFmtId="0" fontId="0" fillId="0" borderId="45" xfId="0" applyBorder="1" applyAlignment="1">
      <alignment vertical="center"/>
    </xf>
    <xf numFmtId="3" fontId="0" fillId="0" borderId="47" xfId="0" applyNumberFormat="1" applyBorder="1" applyAlignment="1">
      <alignment horizontal="right" vertical="center"/>
    </xf>
    <xf numFmtId="3" fontId="0" fillId="0" borderId="48" xfId="0" applyNumberFormat="1" applyBorder="1" applyAlignment="1">
      <alignment vertical="center"/>
    </xf>
    <xf numFmtId="0" fontId="0" fillId="0" borderId="48" xfId="0" applyBorder="1" applyAlignment="1">
      <alignment horizontal="center" vertical="center"/>
    </xf>
    <xf numFmtId="173" fontId="53" fillId="0" borderId="49" xfId="0" applyNumberFormat="1" applyFont="1" applyBorder="1" applyAlignment="1">
      <alignment vertical="center"/>
    </xf>
    <xf numFmtId="3" fontId="0" fillId="0" borderId="50" xfId="0" applyNumberFormat="1" applyBorder="1" applyAlignment="1">
      <alignment horizontal="right" vertical="center"/>
    </xf>
    <xf numFmtId="3" fontId="0" fillId="0" borderId="51" xfId="0" applyNumberFormat="1" applyBorder="1" applyAlignment="1">
      <alignment vertical="center"/>
    </xf>
    <xf numFmtId="0" fontId="0" fillId="0" borderId="51" xfId="0" applyBorder="1" applyAlignment="1">
      <alignment horizontal="center" vertical="center"/>
    </xf>
    <xf numFmtId="173" fontId="53" fillId="0" borderId="52" xfId="0" applyNumberFormat="1" applyFont="1" applyBorder="1" applyAlignment="1">
      <alignment vertical="center"/>
    </xf>
    <xf numFmtId="173" fontId="0" fillId="0" borderId="158" xfId="0" applyNumberFormat="1" applyBorder="1" applyAlignment="1">
      <alignment vertical="center"/>
    </xf>
    <xf numFmtId="173" fontId="53" fillId="0" borderId="46" xfId="0" applyNumberFormat="1" applyFont="1" applyBorder="1" applyAlignment="1">
      <alignment vertical="center"/>
    </xf>
    <xf numFmtId="0" fontId="0" fillId="8" borderId="158" xfId="0" applyFill="1" applyBorder="1" applyAlignment="1">
      <alignment horizontal="center" vertical="center"/>
    </xf>
    <xf numFmtId="0" fontId="0" fillId="8" borderId="13" xfId="0" applyFill="1" applyBorder="1" applyAlignment="1">
      <alignment horizontal="center" vertical="center"/>
    </xf>
    <xf numFmtId="0" fontId="90" fillId="0" borderId="75" xfId="50" applyFont="1" applyBorder="1" applyAlignment="1">
      <alignment horizontal="center"/>
    </xf>
    <xf numFmtId="0" fontId="90" fillId="0" borderId="109" xfId="50" applyFont="1" applyBorder="1" applyAlignment="1">
      <alignment horizontal="center" vertical="top"/>
    </xf>
    <xf numFmtId="0" fontId="0" fillId="0" borderId="0" xfId="0" applyBorder="1" applyAlignment="1">
      <alignment horizontal="center"/>
    </xf>
    <xf numFmtId="0" fontId="126" fillId="6" borderId="116" xfId="50" applyFont="1" applyFill="1" applyBorder="1" applyAlignment="1">
      <alignment horizontal="center"/>
    </xf>
    <xf numFmtId="0" fontId="165" fillId="6" borderId="102" xfId="50" applyFont="1" applyFill="1" applyBorder="1" applyAlignment="1">
      <alignment horizontal="center"/>
    </xf>
    <xf numFmtId="0" fontId="165" fillId="6" borderId="102" xfId="50" applyFont="1" applyFill="1" applyBorder="1" applyAlignment="1">
      <alignment horizontal="center" vertical="top" wrapText="1"/>
    </xf>
    <xf numFmtId="0" fontId="214" fillId="0" borderId="0" xfId="0" applyFont="1"/>
    <xf numFmtId="0" fontId="71" fillId="8" borderId="27" xfId="0" applyFont="1" applyFill="1" applyBorder="1" applyAlignment="1">
      <alignment horizontal="center" vertical="center" wrapText="1"/>
    </xf>
    <xf numFmtId="0" fontId="71" fillId="8" borderId="25" xfId="0" applyFont="1" applyFill="1" applyBorder="1" applyAlignment="1">
      <alignment horizontal="center" vertical="center" wrapText="1"/>
    </xf>
    <xf numFmtId="0" fontId="137" fillId="0" borderId="219" xfId="0" applyFont="1" applyFill="1" applyBorder="1" applyAlignment="1">
      <alignment horizontal="center" vertical="top" wrapText="1"/>
    </xf>
    <xf numFmtId="0" fontId="137" fillId="0" borderId="226" xfId="0" applyFont="1" applyFill="1" applyBorder="1" applyAlignment="1">
      <alignment horizontal="center" vertical="top" wrapText="1"/>
    </xf>
    <xf numFmtId="0" fontId="137" fillId="0" borderId="227" xfId="0" applyFont="1" applyFill="1" applyBorder="1" applyAlignment="1">
      <alignment horizontal="center" vertical="top" wrapText="1"/>
    </xf>
    <xf numFmtId="0" fontId="0" fillId="6" borderId="203" xfId="0" applyFill="1" applyBorder="1" applyAlignment="1"/>
    <xf numFmtId="0" fontId="123" fillId="6" borderId="165" xfId="0" applyFont="1" applyFill="1" applyBorder="1" applyAlignment="1">
      <alignment horizontal="right" vertical="center"/>
    </xf>
    <xf numFmtId="0" fontId="123" fillId="6" borderId="237" xfId="0" applyFont="1" applyFill="1" applyBorder="1" applyAlignment="1">
      <alignment horizontal="right" vertical="center"/>
    </xf>
    <xf numFmtId="0" fontId="38" fillId="0" borderId="156" xfId="0" applyFont="1" applyBorder="1" applyAlignment="1">
      <alignment horizontal="center" vertical="center" wrapText="1"/>
    </xf>
    <xf numFmtId="0" fontId="46" fillId="0" borderId="23" xfId="50" applyFont="1" applyFill="1" applyBorder="1"/>
    <xf numFmtId="0" fontId="52" fillId="6" borderId="0" xfId="50" applyFont="1" applyFill="1" applyAlignment="1">
      <alignment horizontal="center" vertical="center"/>
    </xf>
    <xf numFmtId="0" fontId="52" fillId="6" borderId="0" xfId="50" applyFont="1" applyFill="1" applyAlignment="1">
      <alignment vertical="center" wrapText="1"/>
    </xf>
    <xf numFmtId="0" fontId="54" fillId="6" borderId="0" xfId="0" applyFont="1" applyFill="1" applyBorder="1" applyAlignment="1">
      <alignment horizontal="center"/>
    </xf>
    <xf numFmtId="0" fontId="52" fillId="6" borderId="96" xfId="50" applyFont="1" applyFill="1" applyBorder="1"/>
    <xf numFmtId="0" fontId="52" fillId="6" borderId="14" xfId="50" applyFont="1" applyFill="1" applyBorder="1" applyAlignment="1">
      <alignment vertical="center"/>
    </xf>
    <xf numFmtId="0" fontId="52" fillId="6" borderId="23" xfId="50" applyFont="1" applyFill="1" applyBorder="1"/>
    <xf numFmtId="0" fontId="52" fillId="6" borderId="23" xfId="50" applyFont="1" applyFill="1" applyBorder="1" applyAlignment="1">
      <alignment vertical="center" wrapText="1"/>
    </xf>
    <xf numFmtId="0" fontId="52" fillId="6" borderId="18" xfId="50" applyFont="1" applyFill="1" applyBorder="1"/>
    <xf numFmtId="0" fontId="52" fillId="6" borderId="0" xfId="50" applyFont="1" applyFill="1" applyBorder="1"/>
    <xf numFmtId="0" fontId="52" fillId="6" borderId="24" xfId="50" applyFont="1" applyFill="1" applyBorder="1"/>
    <xf numFmtId="0" fontId="52" fillId="6" borderId="19" xfId="50" applyFont="1" applyFill="1" applyBorder="1"/>
    <xf numFmtId="0" fontId="52" fillId="6" borderId="20" xfId="50" applyFont="1" applyFill="1" applyBorder="1"/>
    <xf numFmtId="0" fontId="155" fillId="0" borderId="22" xfId="0" applyFont="1" applyBorder="1" applyAlignment="1">
      <alignment horizontal="center" vertical="center" wrapText="1"/>
    </xf>
    <xf numFmtId="0" fontId="155" fillId="0" borderId="71" xfId="0" applyFont="1" applyBorder="1" applyAlignment="1">
      <alignment horizontal="center" vertical="center" wrapText="1"/>
    </xf>
    <xf numFmtId="0" fontId="69" fillId="2" borderId="22" xfId="0" applyFont="1" applyFill="1" applyBorder="1" applyAlignment="1">
      <alignment horizontal="center" vertical="center"/>
    </xf>
    <xf numFmtId="0" fontId="87" fillId="2" borderId="22" xfId="0" applyFont="1" applyFill="1" applyBorder="1" applyAlignment="1">
      <alignment horizontal="center" vertical="center"/>
    </xf>
    <xf numFmtId="0" fontId="0" fillId="6" borderId="14" xfId="0" applyFill="1" applyBorder="1"/>
    <xf numFmtId="0" fontId="0" fillId="6" borderId="15" xfId="0" applyFill="1" applyBorder="1"/>
    <xf numFmtId="0" fontId="0" fillId="6" borderId="16" xfId="0" applyFill="1" applyBorder="1"/>
    <xf numFmtId="0" fontId="0" fillId="6" borderId="23" xfId="0" applyFill="1" applyBorder="1"/>
    <xf numFmtId="0" fontId="0" fillId="6" borderId="24" xfId="0" applyFill="1" applyBorder="1"/>
    <xf numFmtId="0" fontId="0" fillId="6" borderId="18" xfId="0" applyFill="1" applyBorder="1"/>
    <xf numFmtId="0" fontId="0" fillId="6" borderId="19" xfId="0" applyFill="1" applyBorder="1"/>
    <xf numFmtId="0" fontId="0" fillId="6" borderId="20" xfId="0" applyFill="1" applyBorder="1"/>
    <xf numFmtId="0" fontId="84" fillId="0" borderId="53" xfId="0" applyFont="1" applyBorder="1" applyAlignment="1">
      <alignment horizontal="center" vertical="center" wrapText="1"/>
    </xf>
    <xf numFmtId="0" fontId="84" fillId="9" borderId="53" xfId="0" applyFont="1" applyFill="1" applyBorder="1" applyAlignment="1">
      <alignment horizontal="center" vertical="center" wrapText="1"/>
    </xf>
    <xf numFmtId="0" fontId="88" fillId="2" borderId="22" xfId="0" applyFont="1" applyFill="1" applyBorder="1" applyAlignment="1">
      <alignment horizontal="center" vertical="center"/>
    </xf>
    <xf numFmtId="0" fontId="46" fillId="0" borderId="0" xfId="50" applyFont="1" applyAlignment="1"/>
    <xf numFmtId="166" fontId="92" fillId="8" borderId="53" xfId="0" applyNumberFormat="1" applyFont="1" applyFill="1" applyBorder="1" applyAlignment="1">
      <alignment horizontal="center" vertical="center"/>
    </xf>
    <xf numFmtId="0" fontId="52" fillId="0" borderId="0" xfId="0" applyFont="1" applyAlignment="1">
      <alignment horizontal="center" vertical="center"/>
    </xf>
    <xf numFmtId="0" fontId="51" fillId="6" borderId="17" xfId="0" applyFont="1" applyFill="1" applyBorder="1" applyAlignment="1">
      <alignment horizontal="center" vertical="center"/>
    </xf>
    <xf numFmtId="0" fontId="51" fillId="11" borderId="17" xfId="0" applyFont="1" applyFill="1" applyBorder="1" applyAlignment="1">
      <alignment horizontal="center" vertical="center"/>
    </xf>
    <xf numFmtId="16" fontId="0" fillId="0" borderId="0" xfId="0" applyNumberFormat="1" applyAlignment="1">
      <alignment horizontal="center" vertical="center"/>
    </xf>
    <xf numFmtId="0" fontId="0" fillId="0" borderId="145" xfId="0" applyFill="1" applyBorder="1"/>
    <xf numFmtId="0" fontId="0" fillId="0" borderId="168" xfId="0" applyFill="1" applyBorder="1"/>
    <xf numFmtId="0" fontId="0" fillId="0" borderId="168" xfId="0" applyBorder="1"/>
    <xf numFmtId="0" fontId="0" fillId="0" borderId="145" xfId="0" applyBorder="1"/>
    <xf numFmtId="0" fontId="0" fillId="0" borderId="11" xfId="0" applyFill="1" applyBorder="1"/>
    <xf numFmtId="0" fontId="123" fillId="0" borderId="0" xfId="0" applyFont="1" applyBorder="1" applyAlignment="1">
      <alignment horizontal="center" vertical="center" wrapText="1"/>
    </xf>
    <xf numFmtId="0" fontId="82" fillId="2" borderId="6" xfId="0" applyFont="1" applyFill="1" applyBorder="1" applyAlignment="1">
      <alignment horizontal="center" vertical="center" wrapText="1"/>
    </xf>
    <xf numFmtId="0" fontId="64" fillId="0" borderId="0" xfId="50" applyFont="1" applyAlignment="1">
      <alignment vertical="center"/>
    </xf>
    <xf numFmtId="0" fontId="87" fillId="0" borderId="0" xfId="50" applyFont="1" applyFill="1" applyAlignment="1">
      <alignment horizontal="center" vertical="center"/>
    </xf>
    <xf numFmtId="166" fontId="51" fillId="8" borderId="22" xfId="50" applyNumberFormat="1" applyFont="1" applyFill="1" applyBorder="1" applyAlignment="1">
      <alignment vertical="center"/>
    </xf>
    <xf numFmtId="10" fontId="123" fillId="0" borderId="22" xfId="50" applyNumberFormat="1" applyFont="1" applyBorder="1" applyAlignment="1">
      <alignment vertical="center"/>
    </xf>
    <xf numFmtId="0" fontId="123" fillId="0" borderId="0" xfId="50" applyFont="1" applyAlignment="1">
      <alignment vertical="center"/>
    </xf>
    <xf numFmtId="49" fontId="55" fillId="0" borderId="0" xfId="0" applyNumberFormat="1" applyFont="1" applyBorder="1" applyAlignment="1">
      <alignment horizontal="center"/>
    </xf>
    <xf numFmtId="0" fontId="55" fillId="0" borderId="0" xfId="0" applyFont="1" applyBorder="1" applyAlignment="1">
      <alignment horizontal="center"/>
    </xf>
    <xf numFmtId="0" fontId="51" fillId="0" borderId="15" xfId="0" applyFont="1" applyBorder="1" applyAlignment="1">
      <alignment horizontal="center" vertical="center"/>
    </xf>
    <xf numFmtId="0" fontId="0" fillId="0" borderId="15" xfId="0" applyBorder="1" applyAlignment="1">
      <alignment horizontal="center"/>
    </xf>
    <xf numFmtId="49" fontId="64" fillId="0" borderId="15" xfId="0" applyNumberFormat="1" applyFont="1" applyBorder="1" applyAlignment="1">
      <alignment vertical="center"/>
    </xf>
    <xf numFmtId="0" fontId="55" fillId="0" borderId="15" xfId="0" applyFont="1" applyBorder="1" applyAlignment="1">
      <alignment horizontal="left" vertical="center"/>
    </xf>
    <xf numFmtId="0" fontId="25" fillId="0" borderId="0" xfId="0" applyFont="1" applyFill="1" applyBorder="1" applyAlignment="1">
      <alignment horizontal="center" vertical="center" wrapText="1"/>
    </xf>
    <xf numFmtId="0" fontId="27" fillId="0" borderId="0" xfId="0" applyFont="1" applyAlignment="1">
      <alignment horizontal="center" vertical="center" wrapText="1"/>
    </xf>
    <xf numFmtId="164" fontId="89" fillId="8" borderId="22" xfId="50" applyNumberFormat="1" applyFont="1" applyFill="1" applyBorder="1" applyAlignment="1">
      <alignment horizontal="center" vertical="center"/>
    </xf>
    <xf numFmtId="0" fontId="43" fillId="0" borderId="0" xfId="50" applyFont="1" applyFill="1" applyAlignment="1">
      <alignment horizontal="center" vertical="center"/>
    </xf>
    <xf numFmtId="0" fontId="43" fillId="0" borderId="0" xfId="50" applyFill="1" applyAlignment="1">
      <alignment horizontal="center" vertical="center"/>
    </xf>
    <xf numFmtId="0" fontId="71" fillId="8" borderId="245" xfId="0" applyFont="1" applyFill="1" applyBorder="1" applyAlignment="1">
      <alignment horizontal="center" vertical="center" wrapText="1"/>
    </xf>
    <xf numFmtId="0" fontId="71" fillId="8" borderId="159" xfId="0" applyFont="1" applyFill="1" applyBorder="1" applyAlignment="1">
      <alignment horizontal="center" vertical="center" wrapText="1"/>
    </xf>
    <xf numFmtId="0" fontId="71" fillId="8" borderId="160" xfId="0" applyFont="1" applyFill="1" applyBorder="1" applyAlignment="1">
      <alignment horizontal="center" vertical="center" wrapText="1"/>
    </xf>
    <xf numFmtId="0" fontId="64" fillId="6" borderId="25" xfId="50" applyFont="1" applyFill="1" applyBorder="1" applyAlignment="1">
      <alignment vertical="center"/>
    </xf>
    <xf numFmtId="0" fontId="64" fillId="6" borderId="26" xfId="50" applyFont="1" applyFill="1" applyBorder="1" applyAlignment="1">
      <alignment vertical="center"/>
    </xf>
    <xf numFmtId="0" fontId="64" fillId="6" borderId="27" xfId="50" applyFont="1" applyFill="1" applyBorder="1" applyAlignment="1">
      <alignment vertical="center"/>
    </xf>
    <xf numFmtId="0" fontId="87" fillId="6" borderId="25" xfId="50" applyFont="1" applyFill="1" applyBorder="1" applyAlignment="1">
      <alignment horizontal="center" vertical="center"/>
    </xf>
    <xf numFmtId="0" fontId="87" fillId="6" borderId="26" xfId="50" applyFont="1" applyFill="1" applyBorder="1" applyAlignment="1">
      <alignment horizontal="center" vertical="center"/>
    </xf>
    <xf numFmtId="164" fontId="44" fillId="0" borderId="22" xfId="0" applyNumberFormat="1" applyFont="1" applyFill="1" applyBorder="1" applyAlignment="1">
      <alignment vertical="center"/>
    </xf>
    <xf numFmtId="164" fontId="60" fillId="0" borderId="22" xfId="0" applyNumberFormat="1" applyFont="1" applyFill="1" applyBorder="1" applyAlignment="1">
      <alignment vertical="center"/>
    </xf>
    <xf numFmtId="0" fontId="42" fillId="8" borderId="22" xfId="0" applyNumberFormat="1" applyFont="1" applyFill="1" applyBorder="1" applyAlignment="1">
      <alignment horizontal="center" vertical="center"/>
    </xf>
    <xf numFmtId="0" fontId="0" fillId="6" borderId="0" xfId="0" applyFill="1"/>
    <xf numFmtId="0" fontId="78" fillId="6" borderId="0" xfId="0" applyFont="1" applyFill="1" applyBorder="1" applyAlignment="1">
      <alignment horizontal="left" vertical="center"/>
    </xf>
    <xf numFmtId="0" fontId="73" fillId="6" borderId="0" xfId="50" applyFont="1" applyFill="1" applyBorder="1" applyAlignment="1">
      <alignment horizontal="right" vertical="center"/>
    </xf>
    <xf numFmtId="0" fontId="78" fillId="6" borderId="0" xfId="0" applyFont="1" applyFill="1" applyBorder="1" applyAlignment="1">
      <alignment horizontal="right"/>
    </xf>
    <xf numFmtId="0" fontId="64" fillId="6" borderId="0" xfId="0" applyFont="1" applyFill="1" applyBorder="1" applyAlignment="1">
      <alignment horizontal="center" vertical="center"/>
    </xf>
    <xf numFmtId="164" fontId="92" fillId="6" borderId="0" xfId="0" applyNumberFormat="1" applyFont="1" applyFill="1" applyAlignment="1">
      <alignment horizontal="center" vertical="center"/>
    </xf>
    <xf numFmtId="0" fontId="51" fillId="6" borderId="0" xfId="0" applyFont="1" applyFill="1" applyAlignment="1">
      <alignment horizontal="right" vertical="center"/>
    </xf>
    <xf numFmtId="164" fontId="70" fillId="6" borderId="0" xfId="50" applyNumberFormat="1" applyFont="1" applyFill="1" applyBorder="1" applyAlignment="1">
      <alignment horizontal="center" vertical="center"/>
    </xf>
    <xf numFmtId="0" fontId="178" fillId="6" borderId="23" xfId="0" applyFont="1" applyFill="1" applyBorder="1" applyAlignment="1">
      <alignment horizontal="center"/>
    </xf>
    <xf numFmtId="0" fontId="51" fillId="6" borderId="19" xfId="0" applyFont="1" applyFill="1" applyBorder="1" applyAlignment="1">
      <alignment horizontal="right" vertical="center"/>
    </xf>
    <xf numFmtId="0" fontId="43" fillId="6" borderId="24" xfId="50" applyFill="1" applyBorder="1" applyAlignment="1">
      <alignment vertical="center"/>
    </xf>
    <xf numFmtId="164" fontId="46" fillId="6" borderId="24" xfId="50" applyNumberFormat="1" applyFont="1" applyFill="1" applyBorder="1" applyAlignment="1">
      <alignment horizontal="center" vertical="center"/>
    </xf>
    <xf numFmtId="0" fontId="69" fillId="2" borderId="24" xfId="0" applyFont="1" applyFill="1" applyBorder="1" applyAlignment="1">
      <alignment horizontal="center" vertical="center"/>
    </xf>
    <xf numFmtId="0" fontId="69" fillId="2" borderId="20" xfId="0" applyFont="1" applyFill="1" applyBorder="1" applyAlignment="1">
      <alignment horizontal="center" vertical="center"/>
    </xf>
    <xf numFmtId="0" fontId="43" fillId="6" borderId="147" xfId="50" applyFill="1" applyBorder="1" applyAlignment="1">
      <alignment vertical="center"/>
    </xf>
    <xf numFmtId="166" fontId="70" fillId="0" borderId="21" xfId="0" applyNumberFormat="1" applyFont="1" applyBorder="1" applyAlignment="1">
      <alignment horizontal="center" vertical="center"/>
    </xf>
    <xf numFmtId="0" fontId="73" fillId="6" borderId="26" xfId="50" applyFont="1" applyFill="1" applyBorder="1"/>
    <xf numFmtId="0" fontId="0" fillId="6" borderId="26" xfId="0" applyFill="1" applyBorder="1"/>
    <xf numFmtId="0" fontId="0" fillId="6" borderId="27" xfId="0" applyFill="1" applyBorder="1"/>
    <xf numFmtId="0" fontId="43" fillId="6" borderId="26" xfId="50" applyFill="1" applyBorder="1" applyAlignment="1">
      <alignment vertical="center"/>
    </xf>
    <xf numFmtId="0" fontId="73" fillId="6" borderId="19" xfId="50" applyFont="1" applyFill="1" applyBorder="1"/>
    <xf numFmtId="0" fontId="43" fillId="6" borderId="15" xfId="50" applyFill="1" applyBorder="1" applyAlignment="1">
      <alignment vertical="center"/>
    </xf>
    <xf numFmtId="0" fontId="73" fillId="6" borderId="25" xfId="50" applyFont="1" applyFill="1" applyBorder="1"/>
    <xf numFmtId="166" fontId="217" fillId="2" borderId="261" xfId="0" applyNumberFormat="1" applyFont="1" applyFill="1" applyBorder="1" applyAlignment="1">
      <alignment horizontal="center" vertical="center"/>
    </xf>
    <xf numFmtId="0" fontId="0" fillId="0" borderId="147" xfId="0" applyBorder="1" applyAlignment="1">
      <alignment horizontal="left"/>
    </xf>
    <xf numFmtId="0" fontId="198" fillId="2" borderId="22" xfId="0" applyFont="1" applyFill="1" applyBorder="1" applyAlignment="1">
      <alignment horizontal="center" vertical="center"/>
    </xf>
    <xf numFmtId="0" fontId="87" fillId="2" borderId="71" xfId="0" applyFont="1" applyFill="1" applyBorder="1" applyAlignment="1">
      <alignment horizontal="center" vertical="center"/>
    </xf>
    <xf numFmtId="0" fontId="213" fillId="10" borderId="172" xfId="0" applyFont="1" applyFill="1" applyBorder="1" applyAlignment="1">
      <alignment horizontal="center" vertical="center"/>
    </xf>
    <xf numFmtId="0" fontId="213" fillId="10" borderId="144" xfId="0" applyFont="1" applyFill="1" applyBorder="1" applyAlignment="1">
      <alignment horizontal="center" vertical="center"/>
    </xf>
    <xf numFmtId="0" fontId="85" fillId="5" borderId="11" xfId="64" applyFont="1" applyFill="1" applyBorder="1" applyAlignment="1" applyProtection="1">
      <alignment vertical="center"/>
      <protection locked="0"/>
    </xf>
    <xf numFmtId="0" fontId="85" fillId="5" borderId="11" xfId="64" applyFont="1" applyFill="1" applyBorder="1" applyAlignment="1" applyProtection="1">
      <alignment horizontal="center" vertical="center"/>
      <protection locked="0"/>
    </xf>
    <xf numFmtId="0" fontId="85" fillId="5" borderId="11" xfId="64" applyNumberFormat="1" applyFont="1" applyFill="1" applyBorder="1" applyAlignment="1" applyProtection="1">
      <alignment horizontal="center" vertical="center"/>
      <protection locked="0"/>
    </xf>
    <xf numFmtId="0" fontId="180" fillId="5" borderId="11" xfId="59" applyFill="1" applyBorder="1" applyAlignment="1" applyProtection="1">
      <alignment horizontal="center" vertical="center"/>
      <protection locked="0"/>
    </xf>
    <xf numFmtId="1" fontId="85" fillId="5" borderId="11" xfId="64" applyNumberFormat="1" applyFont="1" applyFill="1" applyBorder="1" applyAlignment="1" applyProtection="1">
      <alignment horizontal="center" vertical="center"/>
      <protection locked="0"/>
    </xf>
    <xf numFmtId="0" fontId="51" fillId="0" borderId="25" xfId="50" applyFont="1" applyBorder="1" applyAlignment="1">
      <alignment horizontal="center" vertical="center"/>
    </xf>
    <xf numFmtId="0" fontId="0" fillId="8" borderId="22" xfId="0" applyFill="1" applyBorder="1" applyAlignment="1">
      <alignment horizontal="center" vertical="center"/>
    </xf>
    <xf numFmtId="0" fontId="78" fillId="0" borderId="0" xfId="0" applyFont="1" applyAlignment="1">
      <alignment horizontal="center" vertical="top"/>
    </xf>
    <xf numFmtId="0" fontId="73" fillId="0" borderId="0" xfId="50" applyFont="1" applyAlignment="1">
      <alignment horizontal="center"/>
    </xf>
    <xf numFmtId="0" fontId="22" fillId="6" borderId="19" xfId="0" applyFont="1" applyFill="1" applyBorder="1" applyAlignment="1">
      <alignment horizontal="center" vertical="top"/>
    </xf>
    <xf numFmtId="0" fontId="22" fillId="6" borderId="0" xfId="0" applyFont="1" applyFill="1" applyAlignment="1">
      <alignment horizontal="center" vertical="top"/>
    </xf>
    <xf numFmtId="0" fontId="78" fillId="6" borderId="0" xfId="0" applyFont="1" applyFill="1" applyBorder="1" applyAlignment="1">
      <alignment horizontal="left" vertical="top"/>
    </xf>
    <xf numFmtId="0" fontId="0" fillId="0" borderId="0" xfId="0" applyAlignment="1">
      <alignment horizontal="right" vertical="center" wrapText="1"/>
    </xf>
    <xf numFmtId="0" fontId="0" fillId="0" borderId="120" xfId="0" applyBorder="1"/>
    <xf numFmtId="0" fontId="217" fillId="2" borderId="22" xfId="0" applyFont="1" applyFill="1" applyBorder="1" applyAlignment="1">
      <alignment horizontal="center" vertical="center"/>
    </xf>
    <xf numFmtId="0" fontId="21" fillId="0" borderId="0" xfId="0" applyFont="1" applyAlignment="1">
      <alignment horizontal="center" vertical="top"/>
    </xf>
    <xf numFmtId="0" fontId="84" fillId="8" borderId="22" xfId="0" applyFont="1" applyFill="1" applyBorder="1" applyAlignment="1">
      <alignment horizontal="center" vertical="center"/>
    </xf>
    <xf numFmtId="0" fontId="21" fillId="0" borderId="15" xfId="0" applyFont="1" applyBorder="1" applyAlignment="1">
      <alignment horizontal="center" vertical="top"/>
    </xf>
    <xf numFmtId="166" fontId="70" fillId="6" borderId="27" xfId="0" applyNumberFormat="1" applyFont="1" applyFill="1" applyBorder="1" applyAlignment="1">
      <alignment horizontal="center" vertical="center"/>
    </xf>
    <xf numFmtId="0" fontId="0" fillId="6" borderId="24" xfId="0" applyFill="1" applyBorder="1" applyAlignment="1">
      <alignment vertical="center"/>
    </xf>
    <xf numFmtId="0" fontId="155" fillId="6" borderId="0" xfId="0" applyFont="1" applyFill="1" applyBorder="1" applyAlignment="1">
      <alignment horizontal="left" vertical="center"/>
    </xf>
    <xf numFmtId="0" fontId="0" fillId="6" borderId="15" xfId="0" applyFill="1" applyBorder="1" applyAlignment="1"/>
    <xf numFmtId="0" fontId="0" fillId="6" borderId="23" xfId="0" applyFill="1" applyBorder="1" applyAlignment="1"/>
    <xf numFmtId="0" fontId="0" fillId="6" borderId="0" xfId="0" applyFill="1" applyAlignment="1"/>
    <xf numFmtId="0" fontId="0" fillId="6" borderId="18" xfId="0" applyFill="1" applyBorder="1" applyAlignment="1"/>
    <xf numFmtId="0" fontId="0" fillId="6" borderId="19" xfId="0" applyFill="1" applyBorder="1" applyAlignment="1"/>
    <xf numFmtId="0" fontId="70" fillId="6" borderId="15" xfId="0" applyFont="1" applyFill="1" applyBorder="1" applyAlignment="1">
      <alignment horizontal="center" vertical="center"/>
    </xf>
    <xf numFmtId="0" fontId="0" fillId="6" borderId="0" xfId="0" applyFill="1" applyBorder="1" applyAlignment="1">
      <alignment vertical="center"/>
    </xf>
    <xf numFmtId="0" fontId="70" fillId="6" borderId="16" xfId="0" applyFont="1" applyFill="1" applyBorder="1" applyAlignment="1">
      <alignment horizontal="center" vertical="center"/>
    </xf>
    <xf numFmtId="0" fontId="0" fillId="6" borderId="16" xfId="0" applyFill="1" applyBorder="1" applyAlignment="1">
      <alignment vertical="center"/>
    </xf>
    <xf numFmtId="166" fontId="92" fillId="7" borderId="22" xfId="0" applyNumberFormat="1" applyFont="1" applyFill="1" applyBorder="1" applyAlignment="1">
      <alignment horizontal="center" vertical="center"/>
    </xf>
    <xf numFmtId="0" fontId="92" fillId="7" borderId="21" xfId="0" applyFont="1" applyFill="1" applyBorder="1" applyAlignment="1">
      <alignment horizontal="center" vertical="center"/>
    </xf>
    <xf numFmtId="9" fontId="92" fillId="7" borderId="199" xfId="0" applyNumberFormat="1" applyFont="1" applyFill="1" applyBorder="1" applyAlignment="1">
      <alignment horizontal="center" vertical="center"/>
    </xf>
    <xf numFmtId="0" fontId="169" fillId="0" borderId="0" xfId="0" applyFont="1" applyAlignment="1">
      <alignment horizontal="center"/>
    </xf>
    <xf numFmtId="10" fontId="0" fillId="8" borderId="158" xfId="0" applyNumberFormat="1" applyFill="1" applyBorder="1" applyAlignment="1">
      <alignment vertical="center"/>
    </xf>
    <xf numFmtId="10" fontId="0" fillId="8" borderId="11" xfId="0" applyNumberFormat="1" applyFill="1" applyBorder="1" applyAlignment="1">
      <alignment vertical="center"/>
    </xf>
    <xf numFmtId="0" fontId="39" fillId="0" borderId="0" xfId="0" applyFont="1" applyBorder="1" applyAlignment="1">
      <alignment horizontal="left" vertical="center"/>
    </xf>
    <xf numFmtId="0" fontId="64" fillId="0" borderId="0" xfId="0" applyFont="1"/>
    <xf numFmtId="0" fontId="230" fillId="0" borderId="0" xfId="0" applyFont="1" applyAlignment="1">
      <alignment horizontal="center" vertical="top"/>
    </xf>
    <xf numFmtId="0" fontId="52" fillId="0" borderId="0" xfId="0" applyFont="1" applyBorder="1" applyAlignment="1">
      <alignment vertical="center"/>
    </xf>
    <xf numFmtId="0" fontId="52" fillId="0" borderId="0" xfId="0" applyFont="1" applyBorder="1" applyAlignment="1">
      <alignment horizontal="right" vertical="center"/>
    </xf>
    <xf numFmtId="0" fontId="124" fillId="0" borderId="0" xfId="0" applyFont="1"/>
    <xf numFmtId="0" fontId="203" fillId="0" borderId="0" xfId="0" applyFont="1" applyBorder="1" applyAlignment="1">
      <alignment horizontal="right" vertical="top"/>
    </xf>
    <xf numFmtId="0" fontId="0" fillId="0" borderId="0" xfId="0" applyAlignment="1">
      <alignment wrapText="1"/>
    </xf>
    <xf numFmtId="166" fontId="231" fillId="8" borderId="22" xfId="0" applyNumberFormat="1" applyFont="1" applyFill="1" applyBorder="1" applyAlignment="1">
      <alignment horizontal="center" vertical="center"/>
    </xf>
    <xf numFmtId="0" fontId="59" fillId="6" borderId="203" xfId="0" applyFont="1" applyFill="1" applyBorder="1"/>
    <xf numFmtId="0" fontId="59" fillId="6" borderId="202" xfId="0" applyFont="1" applyFill="1" applyBorder="1"/>
    <xf numFmtId="0" fontId="0" fillId="6" borderId="170" xfId="0" applyFill="1" applyBorder="1" applyAlignment="1"/>
    <xf numFmtId="0" fontId="0" fillId="6" borderId="202" xfId="0" applyFill="1" applyBorder="1" applyAlignment="1"/>
    <xf numFmtId="0" fontId="0" fillId="6" borderId="203" xfId="0" applyFill="1" applyBorder="1"/>
    <xf numFmtId="0" fontId="0" fillId="6" borderId="170" xfId="0" applyFill="1" applyBorder="1"/>
    <xf numFmtId="0" fontId="0" fillId="6" borderId="0" xfId="0" applyFill="1" applyBorder="1" applyAlignment="1"/>
    <xf numFmtId="0" fontId="59" fillId="6" borderId="0" xfId="0" applyFont="1" applyFill="1" applyBorder="1"/>
    <xf numFmtId="0" fontId="0" fillId="6" borderId="27" xfId="0" applyFill="1" applyBorder="1" applyAlignment="1">
      <alignment horizontal="left" vertical="center"/>
    </xf>
    <xf numFmtId="0" fontId="84" fillId="0" borderId="165" xfId="0" applyFont="1" applyBorder="1" applyAlignment="1">
      <alignment horizontal="center" vertical="center" wrapText="1"/>
    </xf>
    <xf numFmtId="0" fontId="126" fillId="15" borderId="117" xfId="50" applyFont="1" applyFill="1" applyBorder="1" applyAlignment="1">
      <alignment horizontal="center" vertical="center"/>
    </xf>
    <xf numFmtId="0" fontId="126" fillId="15" borderId="118" xfId="50" applyFont="1" applyFill="1" applyBorder="1" applyAlignment="1">
      <alignment horizontal="center" vertical="center"/>
    </xf>
    <xf numFmtId="0" fontId="126" fillId="15" borderId="119" xfId="50" applyFont="1" applyFill="1" applyBorder="1" applyAlignment="1">
      <alignment horizontal="center" vertical="center"/>
    </xf>
    <xf numFmtId="168" fontId="70" fillId="7" borderId="201" xfId="0" applyNumberFormat="1" applyFont="1" applyFill="1" applyBorder="1" applyAlignment="1">
      <alignment horizontal="center" vertical="center"/>
    </xf>
    <xf numFmtId="168" fontId="70" fillId="7" borderId="184" xfId="0" applyNumberFormat="1" applyFont="1" applyFill="1" applyBorder="1" applyAlignment="1">
      <alignment horizontal="center" vertical="center"/>
    </xf>
    <xf numFmtId="0" fontId="84" fillId="8" borderId="165" xfId="0" applyFont="1" applyFill="1" applyBorder="1" applyAlignment="1">
      <alignment horizontal="center" vertical="center"/>
    </xf>
    <xf numFmtId="0" fontId="219" fillId="6" borderId="76" xfId="0" applyFont="1" applyFill="1" applyBorder="1" applyAlignment="1">
      <alignment horizontal="center" vertical="center"/>
    </xf>
    <xf numFmtId="0" fontId="123" fillId="0" borderId="0" xfId="0" applyFont="1" applyAlignment="1">
      <alignment horizontal="left" vertical="center"/>
    </xf>
    <xf numFmtId="0" fontId="64" fillId="0" borderId="0" xfId="0" applyFont="1" applyAlignment="1">
      <alignment horizontal="center" vertical="center"/>
    </xf>
    <xf numFmtId="0" fontId="64" fillId="0" borderId="0" xfId="0" applyFont="1" applyAlignment="1">
      <alignment horizontal="right" vertical="center"/>
    </xf>
    <xf numFmtId="0" fontId="237" fillId="0" borderId="0" xfId="0" applyFont="1" applyAlignment="1">
      <alignment vertical="center"/>
    </xf>
    <xf numFmtId="0" fontId="64" fillId="0" borderId="0" xfId="0" applyFont="1" applyAlignment="1">
      <alignment horizontal="justify" vertical="center" wrapText="1"/>
    </xf>
    <xf numFmtId="0" fontId="50" fillId="0" borderId="0" xfId="0" applyFont="1" applyBorder="1" applyAlignment="1">
      <alignment horizontal="right"/>
    </xf>
    <xf numFmtId="0" fontId="59" fillId="6" borderId="187" xfId="0" applyFont="1" applyFill="1" applyBorder="1"/>
    <xf numFmtId="0" fontId="0" fillId="6" borderId="102" xfId="0" applyFill="1" applyBorder="1" applyAlignment="1"/>
    <xf numFmtId="9" fontId="96" fillId="10" borderId="19" xfId="0" applyNumberFormat="1" applyFont="1" applyFill="1" applyBorder="1" applyAlignment="1">
      <alignment horizontal="center" vertical="center"/>
    </xf>
    <xf numFmtId="0" fontId="52" fillId="0" borderId="0" xfId="0" applyFont="1" applyAlignment="1"/>
    <xf numFmtId="0" fontId="52" fillId="0" borderId="0" xfId="0" applyFont="1"/>
    <xf numFmtId="0" fontId="52" fillId="0" borderId="0" xfId="0" applyFont="1" applyBorder="1" applyAlignment="1"/>
    <xf numFmtId="0" fontId="53" fillId="0" borderId="0" xfId="0" applyFont="1" applyAlignment="1">
      <alignment vertical="center"/>
    </xf>
    <xf numFmtId="0" fontId="53" fillId="0" borderId="0" xfId="0" applyFont="1" applyBorder="1" applyAlignment="1">
      <alignment horizontal="right" vertical="center"/>
    </xf>
    <xf numFmtId="0" fontId="61" fillId="0" borderId="0" xfId="0" applyFont="1" applyAlignment="1">
      <alignment vertical="center"/>
    </xf>
    <xf numFmtId="10" fontId="52" fillId="0" borderId="0" xfId="0" applyNumberFormat="1" applyFont="1" applyAlignment="1">
      <alignment horizontal="right" vertical="center"/>
    </xf>
    <xf numFmtId="9" fontId="52" fillId="0" borderId="0" xfId="0" applyNumberFormat="1" applyFont="1" applyBorder="1" applyAlignment="1">
      <alignment horizontal="right" vertical="center"/>
    </xf>
    <xf numFmtId="0" fontId="240" fillId="0" borderId="0" xfId="0" applyFont="1" applyBorder="1" applyAlignment="1">
      <alignment horizontal="right"/>
    </xf>
    <xf numFmtId="166" fontId="240" fillId="0" borderId="0" xfId="0" applyNumberFormat="1" applyFont="1" applyBorder="1" applyAlignment="1"/>
    <xf numFmtId="0" fontId="240" fillId="0" borderId="0" xfId="0" applyFont="1" applyAlignment="1"/>
    <xf numFmtId="9" fontId="240" fillId="0" borderId="0" xfId="0" applyNumberFormat="1" applyFont="1" applyBorder="1" applyAlignment="1">
      <alignment horizontal="right"/>
    </xf>
    <xf numFmtId="166" fontId="53" fillId="0" borderId="0" xfId="0" applyNumberFormat="1" applyFont="1" applyAlignment="1">
      <alignment horizontal="center" vertical="center"/>
    </xf>
    <xf numFmtId="166" fontId="16" fillId="0" borderId="0" xfId="0" applyNumberFormat="1" applyFont="1" applyAlignment="1">
      <alignment horizontal="center" vertical="center"/>
    </xf>
    <xf numFmtId="166" fontId="52" fillId="0" borderId="0" xfId="0" applyNumberFormat="1" applyFont="1" applyBorder="1" applyAlignment="1">
      <alignment horizontal="center" vertical="center"/>
    </xf>
    <xf numFmtId="166" fontId="53" fillId="0" borderId="0" xfId="0" applyNumberFormat="1" applyFont="1" applyBorder="1" applyAlignment="1">
      <alignment horizontal="center" vertical="center"/>
    </xf>
    <xf numFmtId="0" fontId="64" fillId="0" borderId="0" xfId="0" applyFont="1" applyBorder="1" applyAlignment="1">
      <alignment horizontal="center"/>
    </xf>
    <xf numFmtId="0" fontId="123" fillId="0" borderId="0" xfId="0" applyFont="1" applyBorder="1" applyAlignment="1">
      <alignment vertical="center"/>
    </xf>
    <xf numFmtId="0" fontId="59" fillId="6" borderId="24" xfId="0" applyFont="1" applyFill="1" applyBorder="1"/>
    <xf numFmtId="0" fontId="136" fillId="0" borderId="0" xfId="0" applyFont="1" applyBorder="1"/>
    <xf numFmtId="0" fontId="244" fillId="0" borderId="56" xfId="0" applyFont="1" applyBorder="1" applyAlignment="1">
      <alignment vertical="center"/>
    </xf>
    <xf numFmtId="0" fontId="240" fillId="0" borderId="56" xfId="0" applyFont="1" applyBorder="1" applyAlignment="1">
      <alignment horizontal="left" vertical="center"/>
    </xf>
    <xf numFmtId="0" fontId="0" fillId="0" borderId="8" xfId="0" applyBorder="1" applyAlignment="1">
      <alignment vertical="center"/>
    </xf>
    <xf numFmtId="3" fontId="0" fillId="0" borderId="0" xfId="0" applyNumberFormat="1" applyAlignment="1">
      <alignment horizontal="right" vertical="center"/>
    </xf>
    <xf numFmtId="3" fontId="0" fillId="0" borderId="0" xfId="0" applyNumberFormat="1" applyAlignment="1">
      <alignment vertical="center"/>
    </xf>
    <xf numFmtId="3" fontId="0" fillId="0" borderId="0" xfId="0" applyNumberFormat="1"/>
    <xf numFmtId="173" fontId="0" fillId="0" borderId="8" xfId="0" applyNumberFormat="1" applyBorder="1" applyAlignment="1">
      <alignment vertical="center"/>
    </xf>
    <xf numFmtId="168" fontId="152" fillId="2" borderId="264" xfId="0" applyNumberFormat="1" applyFont="1" applyFill="1" applyBorder="1" applyAlignment="1">
      <alignment horizontal="center" vertical="center"/>
    </xf>
    <xf numFmtId="0" fontId="148" fillId="6" borderId="0" xfId="0" applyFont="1" applyFill="1" applyBorder="1" applyAlignment="1">
      <alignment horizontal="center" vertical="center"/>
    </xf>
    <xf numFmtId="0" fontId="148" fillId="6" borderId="24" xfId="0" applyFont="1" applyFill="1" applyBorder="1" applyAlignment="1">
      <alignment horizontal="center" vertical="center"/>
    </xf>
    <xf numFmtId="0" fontId="148" fillId="6" borderId="18" xfId="0" applyFont="1" applyFill="1" applyBorder="1" applyAlignment="1">
      <alignment horizontal="center" vertical="center"/>
    </xf>
    <xf numFmtId="0" fontId="245" fillId="6" borderId="23" xfId="0" applyFont="1" applyFill="1" applyBorder="1" applyAlignment="1">
      <alignment horizontal="center" vertical="center"/>
    </xf>
    <xf numFmtId="0" fontId="245" fillId="6" borderId="18" xfId="0" applyFont="1" applyFill="1" applyBorder="1" applyAlignment="1">
      <alignment horizontal="center" vertical="center"/>
    </xf>
    <xf numFmtId="0" fontId="55" fillId="0" borderId="23" xfId="0" applyFont="1" applyBorder="1" applyAlignment="1">
      <alignment horizontal="center" vertical="center" wrapText="1"/>
    </xf>
    <xf numFmtId="0" fontId="55" fillId="0" borderId="18" xfId="0" applyFont="1" applyBorder="1" applyAlignment="1">
      <alignment horizontal="center" vertical="center" wrapText="1"/>
    </xf>
    <xf numFmtId="0" fontId="59" fillId="0" borderId="0" xfId="0" applyFont="1" applyFill="1" applyBorder="1"/>
    <xf numFmtId="0" fontId="51" fillId="0" borderId="0" xfId="0" applyFont="1" applyFill="1" applyBorder="1" applyAlignment="1">
      <alignment horizontal="center" vertical="center" wrapText="1"/>
    </xf>
    <xf numFmtId="0" fontId="78" fillId="0" borderId="0" xfId="0" applyFont="1" applyFill="1" applyBorder="1" applyAlignment="1">
      <alignment horizontal="right" vertical="center"/>
    </xf>
    <xf numFmtId="9" fontId="70" fillId="0" borderId="0" xfId="0" applyNumberFormat="1" applyFont="1" applyFill="1" applyBorder="1" applyAlignment="1">
      <alignment horizontal="center" vertical="center"/>
    </xf>
    <xf numFmtId="0" fontId="247" fillId="6" borderId="0" xfId="0" applyFont="1" applyFill="1" applyBorder="1" applyAlignment="1">
      <alignment horizontal="center" vertical="center"/>
    </xf>
    <xf numFmtId="0" fontId="79" fillId="2" borderId="25" xfId="50" applyFont="1" applyFill="1" applyBorder="1" applyAlignment="1">
      <alignment vertical="center"/>
    </xf>
    <xf numFmtId="0" fontId="55" fillId="0" borderId="24" xfId="0" applyFont="1" applyBorder="1" applyAlignment="1">
      <alignment horizontal="center" vertical="center" wrapText="1"/>
    </xf>
    <xf numFmtId="0" fontId="55" fillId="0" borderId="20" xfId="0" applyFont="1" applyBorder="1" applyAlignment="1">
      <alignment horizontal="center" vertical="center" wrapText="1"/>
    </xf>
    <xf numFmtId="0" fontId="55" fillId="0" borderId="0" xfId="0" applyFont="1" applyBorder="1" applyAlignment="1">
      <alignment horizontal="center" vertical="center" wrapText="1"/>
    </xf>
    <xf numFmtId="0" fontId="78" fillId="6" borderId="19" xfId="0" applyFont="1" applyFill="1" applyBorder="1" applyAlignment="1">
      <alignment horizontal="right" vertical="center"/>
    </xf>
    <xf numFmtId="0" fontId="50" fillId="8" borderId="160" xfId="0" applyFont="1" applyFill="1" applyBorder="1" applyAlignment="1">
      <alignment horizontal="center" vertical="center" wrapText="1"/>
    </xf>
    <xf numFmtId="0" fontId="70" fillId="0" borderId="153" xfId="0" applyFont="1" applyBorder="1" applyAlignment="1">
      <alignment horizontal="center" vertical="center"/>
    </xf>
    <xf numFmtId="0" fontId="53" fillId="0" borderId="0" xfId="0" applyFont="1" applyBorder="1" applyAlignment="1">
      <alignment vertical="center"/>
    </xf>
    <xf numFmtId="0" fontId="41" fillId="6" borderId="0" xfId="0" applyFont="1" applyFill="1" applyBorder="1" applyAlignment="1">
      <alignment vertical="center" wrapText="1"/>
    </xf>
    <xf numFmtId="0" fontId="248" fillId="6" borderId="0" xfId="0" applyFont="1" applyFill="1" applyBorder="1" applyAlignment="1">
      <alignment horizontal="center" vertical="center"/>
    </xf>
    <xf numFmtId="0" fontId="41" fillId="6" borderId="0" xfId="0" applyFont="1" applyFill="1" applyBorder="1" applyAlignment="1">
      <alignment vertical="center"/>
    </xf>
    <xf numFmtId="0" fontId="59" fillId="6" borderId="0" xfId="0" applyFont="1" applyFill="1" applyBorder="1" applyAlignment="1">
      <alignment vertical="center"/>
    </xf>
    <xf numFmtId="0" fontId="59" fillId="6" borderId="85" xfId="0" applyFont="1" applyFill="1" applyBorder="1"/>
    <xf numFmtId="0" fontId="59" fillId="6" borderId="91" xfId="0" applyFont="1" applyFill="1" applyBorder="1" applyAlignment="1">
      <alignment vertical="center"/>
    </xf>
    <xf numFmtId="0" fontId="59" fillId="6" borderId="248" xfId="0" applyFont="1" applyFill="1" applyBorder="1" applyAlignment="1">
      <alignment vertical="center"/>
    </xf>
    <xf numFmtId="0" fontId="39" fillId="7" borderId="250" xfId="0" applyFont="1" applyFill="1" applyBorder="1" applyAlignment="1">
      <alignment horizontal="center" vertical="center" textRotation="90" wrapText="1"/>
    </xf>
    <xf numFmtId="0" fontId="59" fillId="6" borderId="248" xfId="0" applyFont="1" applyFill="1" applyBorder="1"/>
    <xf numFmtId="0" fontId="55" fillId="6" borderId="0" xfId="0" applyFont="1" applyFill="1" applyBorder="1" applyAlignment="1">
      <alignment vertical="center"/>
    </xf>
    <xf numFmtId="0" fontId="41" fillId="6" borderId="212" xfId="0" applyFont="1" applyFill="1" applyBorder="1" applyAlignment="1">
      <alignment vertical="center" wrapText="1"/>
    </xf>
    <xf numFmtId="0" fontId="41" fillId="6" borderId="139" xfId="0" applyFont="1" applyFill="1" applyBorder="1" applyAlignment="1">
      <alignment vertical="center"/>
    </xf>
    <xf numFmtId="0" fontId="70" fillId="8" borderId="26" xfId="0" applyFont="1" applyFill="1" applyBorder="1" applyAlignment="1">
      <alignment horizontal="center" vertical="center"/>
    </xf>
    <xf numFmtId="0" fontId="0" fillId="0" borderId="0" xfId="0" applyFill="1" applyBorder="1" applyAlignment="1"/>
    <xf numFmtId="168" fontId="51" fillId="0" borderId="0" xfId="0" applyNumberFormat="1" applyFont="1" applyFill="1" applyBorder="1" applyAlignment="1">
      <alignment horizontal="center" vertical="center"/>
    </xf>
    <xf numFmtId="0" fontId="51" fillId="0" borderId="0" xfId="0" applyFont="1" applyFill="1" applyAlignment="1">
      <alignment horizontal="center" vertical="center"/>
    </xf>
    <xf numFmtId="0" fontId="59" fillId="0" borderId="0" xfId="0" applyFont="1" applyFill="1" applyAlignment="1">
      <alignment vertical="center"/>
    </xf>
    <xf numFmtId="0" fontId="195" fillId="0" borderId="0" xfId="0" applyFont="1" applyFill="1" applyBorder="1" applyAlignment="1">
      <alignment horizontal="left" vertical="center"/>
    </xf>
    <xf numFmtId="0" fontId="162" fillId="2" borderId="139" xfId="0" applyFont="1" applyFill="1" applyBorder="1" applyAlignment="1">
      <alignment vertical="center"/>
    </xf>
    <xf numFmtId="0" fontId="162" fillId="2" borderId="214" xfId="0" applyNumberFormat="1" applyFont="1" applyFill="1" applyBorder="1" applyAlignment="1">
      <alignment horizontal="center" vertical="center"/>
    </xf>
    <xf numFmtId="10" fontId="197" fillId="2" borderId="214" xfId="0" applyNumberFormat="1" applyFont="1" applyFill="1" applyBorder="1" applyAlignment="1">
      <alignment horizontal="center" vertical="center"/>
    </xf>
    <xf numFmtId="10" fontId="162" fillId="2" borderId="214" xfId="0" applyNumberFormat="1" applyFont="1" applyFill="1" applyBorder="1" applyAlignment="1">
      <alignment horizontal="center" vertical="center"/>
    </xf>
    <xf numFmtId="2" fontId="162" fillId="2" borderId="214" xfId="0" applyNumberFormat="1" applyFont="1" applyFill="1" applyBorder="1" applyAlignment="1">
      <alignment horizontal="center" vertical="center"/>
    </xf>
    <xf numFmtId="0" fontId="174" fillId="2" borderId="71" xfId="50" applyFont="1" applyFill="1" applyBorder="1" applyAlignment="1">
      <alignment horizontal="center" vertical="center" wrapText="1"/>
    </xf>
    <xf numFmtId="0" fontId="13" fillId="0" borderId="0" xfId="0" applyFont="1"/>
    <xf numFmtId="0" fontId="247" fillId="6" borderId="203" xfId="0" applyFont="1" applyFill="1" applyBorder="1" applyAlignment="1">
      <alignment horizontal="center" vertical="center"/>
    </xf>
    <xf numFmtId="0" fontId="241" fillId="6" borderId="170" xfId="0" applyFont="1" applyFill="1" applyBorder="1" applyAlignment="1">
      <alignment horizontal="center" vertical="center"/>
    </xf>
    <xf numFmtId="0" fontId="0" fillId="6" borderId="29" xfId="0" applyFill="1" applyBorder="1" applyAlignment="1">
      <alignment horizontal="center"/>
    </xf>
    <xf numFmtId="9" fontId="96" fillId="10" borderId="121" xfId="0" applyNumberFormat="1" applyFont="1" applyFill="1" applyBorder="1" applyAlignment="1">
      <alignment horizontal="center" vertical="center"/>
    </xf>
    <xf numFmtId="9" fontId="96" fillId="10" borderId="124" xfId="0" applyNumberFormat="1" applyFont="1" applyFill="1" applyBorder="1" applyAlignment="1">
      <alignment horizontal="center" vertical="center"/>
    </xf>
    <xf numFmtId="0" fontId="88" fillId="0" borderId="0" xfId="0" applyFont="1"/>
    <xf numFmtId="0" fontId="88" fillId="2" borderId="25" xfId="0" applyFont="1" applyFill="1" applyBorder="1" applyAlignment="1">
      <alignment vertical="center"/>
    </xf>
    <xf numFmtId="0" fontId="83" fillId="0" borderId="0" xfId="0" applyFont="1" applyBorder="1" applyAlignment="1"/>
    <xf numFmtId="0" fontId="34" fillId="0" borderId="0" xfId="0" applyFont="1" applyAlignment="1">
      <alignment horizontal="center" vertical="center"/>
    </xf>
    <xf numFmtId="0" fontId="92" fillId="0" borderId="0" xfId="0" applyFont="1" applyAlignment="1"/>
    <xf numFmtId="0" fontId="162" fillId="2" borderId="214" xfId="0" applyFont="1" applyFill="1" applyBorder="1" applyAlignment="1">
      <alignment horizontal="center" vertical="center"/>
    </xf>
    <xf numFmtId="2" fontId="33" fillId="0" borderId="0" xfId="0" applyNumberFormat="1" applyFont="1" applyBorder="1" applyAlignment="1">
      <alignment vertical="center"/>
    </xf>
    <xf numFmtId="2" fontId="0" fillId="0" borderId="0" xfId="0" applyNumberFormat="1" applyBorder="1" applyAlignment="1">
      <alignment vertical="center"/>
    </xf>
    <xf numFmtId="0" fontId="162" fillId="2" borderId="86" xfId="0" applyFont="1" applyFill="1" applyBorder="1" applyAlignment="1">
      <alignment horizontal="center" vertical="center"/>
    </xf>
    <xf numFmtId="2" fontId="0" fillId="0" borderId="140" xfId="0" applyNumberFormat="1" applyBorder="1" applyAlignment="1">
      <alignment vertical="center"/>
    </xf>
    <xf numFmtId="0" fontId="162" fillId="2" borderId="145" xfId="0" applyFont="1" applyFill="1" applyBorder="1" applyAlignment="1">
      <alignment horizontal="center" vertical="center"/>
    </xf>
    <xf numFmtId="2" fontId="53" fillId="0" borderId="0" xfId="0" applyNumberFormat="1" applyFont="1" applyBorder="1" applyAlignment="1">
      <alignment vertical="center"/>
    </xf>
    <xf numFmtId="2" fontId="53" fillId="0" borderId="140" xfId="0" applyNumberFormat="1" applyFont="1" applyBorder="1" applyAlignment="1">
      <alignment vertical="center"/>
    </xf>
    <xf numFmtId="10" fontId="0" fillId="0" borderId="86" xfId="0" applyNumberFormat="1" applyFill="1" applyBorder="1" applyAlignment="1">
      <alignment horizontal="center" vertical="center"/>
    </xf>
    <xf numFmtId="0" fontId="197" fillId="0" borderId="0" xfId="0" applyFont="1" applyFill="1" applyBorder="1" applyAlignment="1">
      <alignment horizontal="center"/>
    </xf>
    <xf numFmtId="0" fontId="0" fillId="0" borderId="0" xfId="0" applyFill="1" applyBorder="1" applyAlignment="1">
      <alignment horizontal="center"/>
    </xf>
    <xf numFmtId="10" fontId="0" fillId="0" borderId="0" xfId="0" applyNumberFormat="1" applyFill="1" applyBorder="1" applyAlignment="1">
      <alignment horizontal="center" vertical="center"/>
    </xf>
    <xf numFmtId="0" fontId="0" fillId="0" borderId="23" xfId="0" applyFill="1" applyBorder="1" applyAlignment="1">
      <alignment horizontal="center" vertical="center"/>
    </xf>
    <xf numFmtId="0" fontId="0" fillId="0" borderId="133" xfId="0" applyBorder="1" applyAlignment="1">
      <alignment horizontal="left" vertical="center"/>
    </xf>
    <xf numFmtId="10" fontId="0" fillId="8" borderId="133" xfId="0" applyNumberFormat="1" applyFill="1" applyBorder="1" applyAlignment="1">
      <alignment vertical="center"/>
    </xf>
    <xf numFmtId="0" fontId="0" fillId="0" borderId="0" xfId="0" applyBorder="1" applyAlignment="1">
      <alignment horizontal="left" vertical="center" indent="2"/>
    </xf>
    <xf numFmtId="0" fontId="0" fillId="8" borderId="44" xfId="0" applyFill="1" applyBorder="1" applyAlignment="1">
      <alignment horizontal="center" vertical="center"/>
    </xf>
    <xf numFmtId="0" fontId="31" fillId="8" borderId="162" xfId="0" applyFont="1" applyFill="1" applyBorder="1" applyAlignment="1">
      <alignment horizontal="center" vertical="center"/>
    </xf>
    <xf numFmtId="0" fontId="0" fillId="0" borderId="155" xfId="0" applyBorder="1"/>
    <xf numFmtId="0" fontId="31" fillId="8" borderId="267" xfId="0" applyFont="1" applyFill="1" applyBorder="1" applyAlignment="1">
      <alignment horizontal="center" vertical="center"/>
    </xf>
    <xf numFmtId="0" fontId="92" fillId="0" borderId="55" xfId="0" applyFont="1" applyBorder="1"/>
    <xf numFmtId="0" fontId="83" fillId="0" borderId="0" xfId="0" applyFont="1" applyAlignment="1">
      <alignment horizontal="right"/>
    </xf>
    <xf numFmtId="0" fontId="255" fillId="0" borderId="0" xfId="0" applyFont="1" applyFill="1"/>
    <xf numFmtId="177" fontId="19" fillId="6" borderId="19" xfId="0" applyNumberFormat="1" applyFont="1" applyFill="1" applyBorder="1" applyAlignment="1">
      <alignment horizontal="center" vertical="center"/>
    </xf>
    <xf numFmtId="0" fontId="240" fillId="0" borderId="22" xfId="0" applyFont="1" applyBorder="1" applyAlignment="1">
      <alignment horizontal="center"/>
    </xf>
    <xf numFmtId="0" fontId="155" fillId="0" borderId="84" xfId="50" applyFont="1" applyBorder="1" applyAlignment="1">
      <alignment horizontal="center"/>
    </xf>
    <xf numFmtId="0" fontId="155" fillId="0" borderId="89" xfId="50" applyFont="1" applyBorder="1" applyAlignment="1">
      <alignment horizontal="center" vertical="top"/>
    </xf>
    <xf numFmtId="0" fontId="92" fillId="0" borderId="90" xfId="50" applyFont="1" applyFill="1" applyBorder="1" applyAlignment="1">
      <alignment horizontal="center"/>
    </xf>
    <xf numFmtId="0" fontId="92" fillId="0" borderId="90" xfId="50" applyFont="1" applyFill="1" applyBorder="1" applyAlignment="1">
      <alignment horizontal="center" vertical="top"/>
    </xf>
    <xf numFmtId="0" fontId="51" fillId="0" borderId="72" xfId="50" applyFont="1" applyBorder="1" applyAlignment="1">
      <alignment horizontal="center"/>
    </xf>
    <xf numFmtId="0" fontId="51" fillId="0" borderId="115" xfId="50" applyFont="1" applyBorder="1" applyAlignment="1">
      <alignment horizontal="center" vertical="top"/>
    </xf>
    <xf numFmtId="0" fontId="64" fillId="13" borderId="0" xfId="0" applyFont="1" applyFill="1" applyBorder="1" applyAlignment="1">
      <alignment horizontal="center" vertical="center"/>
    </xf>
    <xf numFmtId="0" fontId="177" fillId="8" borderId="132" xfId="50" applyFont="1" applyFill="1" applyBorder="1" applyAlignment="1">
      <alignment horizontal="center" vertical="center"/>
    </xf>
    <xf numFmtId="0" fontId="234" fillId="8" borderId="53" xfId="0" applyFont="1" applyFill="1" applyBorder="1" applyAlignment="1">
      <alignment horizontal="center" vertical="center" wrapText="1"/>
    </xf>
    <xf numFmtId="9" fontId="259" fillId="7" borderId="53" xfId="0" applyNumberFormat="1" applyFont="1" applyFill="1" applyBorder="1" applyAlignment="1">
      <alignment horizontal="center" vertical="center" wrapText="1"/>
    </xf>
    <xf numFmtId="0" fontId="91" fillId="0" borderId="172" xfId="0" applyFont="1" applyFill="1" applyBorder="1" applyAlignment="1">
      <alignment horizontal="center" vertical="center" wrapText="1"/>
    </xf>
    <xf numFmtId="0" fontId="91" fillId="0" borderId="210" xfId="0" applyFont="1" applyFill="1" applyBorder="1" applyAlignment="1">
      <alignment horizontal="center" vertical="center" wrapText="1"/>
    </xf>
    <xf numFmtId="0" fontId="73" fillId="6" borderId="26" xfId="50" applyFont="1" applyFill="1" applyBorder="1" applyAlignment="1">
      <alignment vertical="top"/>
    </xf>
    <xf numFmtId="168" fontId="261" fillId="2" borderId="193" xfId="0" applyNumberFormat="1" applyFont="1" applyFill="1" applyBorder="1" applyAlignment="1">
      <alignment horizontal="center" vertical="center"/>
    </xf>
    <xf numFmtId="0" fontId="261" fillId="2" borderId="205" xfId="0" applyFont="1" applyFill="1" applyBorder="1" applyAlignment="1">
      <alignment horizontal="center" vertical="center"/>
    </xf>
    <xf numFmtId="168" fontId="261" fillId="2" borderId="156" xfId="0" applyNumberFormat="1" applyFont="1" applyFill="1" applyBorder="1" applyAlignment="1">
      <alignment horizontal="center" vertical="center"/>
    </xf>
    <xf numFmtId="168" fontId="261" fillId="2" borderId="157" xfId="0" applyNumberFormat="1" applyFont="1" applyFill="1" applyBorder="1" applyAlignment="1">
      <alignment horizontal="center" vertical="center"/>
    </xf>
    <xf numFmtId="168" fontId="261" fillId="2" borderId="172" xfId="0" applyNumberFormat="1" applyFont="1" applyFill="1" applyBorder="1" applyAlignment="1">
      <alignment horizontal="center" vertical="center"/>
    </xf>
    <xf numFmtId="168" fontId="261" fillId="2" borderId="205" xfId="0" applyNumberFormat="1" applyFont="1" applyFill="1" applyBorder="1" applyAlignment="1">
      <alignment horizontal="center" vertical="center"/>
    </xf>
    <xf numFmtId="0" fontId="64" fillId="8" borderId="27" xfId="50" applyFont="1" applyFill="1" applyBorder="1" applyAlignment="1">
      <alignment horizontal="right" vertical="center"/>
    </xf>
    <xf numFmtId="0" fontId="64" fillId="8" borderId="20" xfId="50" applyFont="1" applyFill="1" applyBorder="1" applyAlignment="1">
      <alignment horizontal="right" vertical="center"/>
    </xf>
    <xf numFmtId="9" fontId="52" fillId="13" borderId="14" xfId="50" applyNumberFormat="1" applyFont="1" applyFill="1" applyBorder="1" applyAlignment="1">
      <alignment horizontal="center" vertical="center"/>
    </xf>
    <xf numFmtId="9" fontId="52" fillId="13" borderId="126" xfId="50" applyNumberFormat="1" applyFont="1" applyFill="1" applyBorder="1" applyAlignment="1">
      <alignment horizontal="center" vertical="center"/>
    </xf>
    <xf numFmtId="9" fontId="52" fillId="13" borderId="47" xfId="50" applyNumberFormat="1" applyFont="1" applyFill="1" applyBorder="1" applyAlignment="1">
      <alignment horizontal="center" vertical="center"/>
    </xf>
    <xf numFmtId="9" fontId="52" fillId="13" borderId="18" xfId="50" applyNumberFormat="1" applyFont="1" applyFill="1" applyBorder="1" applyAlignment="1">
      <alignment horizontal="center" vertical="center"/>
    </xf>
    <xf numFmtId="0" fontId="64" fillId="8" borderId="21" xfId="50" applyFont="1" applyFill="1" applyBorder="1" applyAlignment="1">
      <alignment horizontal="right" vertical="center"/>
    </xf>
    <xf numFmtId="9" fontId="91" fillId="13" borderId="145" xfId="50" applyNumberFormat="1" applyFont="1" applyFill="1" applyBorder="1" applyAlignment="1">
      <alignment horizontal="center" vertical="center"/>
    </xf>
    <xf numFmtId="9" fontId="91" fillId="13" borderId="21" xfId="50" applyNumberFormat="1" applyFont="1" applyFill="1" applyBorder="1" applyAlignment="1">
      <alignment horizontal="center" vertical="center"/>
    </xf>
    <xf numFmtId="9" fontId="46" fillId="13" borderId="22" xfId="50" applyNumberFormat="1" applyFont="1" applyFill="1" applyBorder="1" applyAlignment="1">
      <alignment horizontal="center" vertical="center"/>
    </xf>
    <xf numFmtId="9" fontId="84" fillId="7" borderId="17" xfId="0" applyNumberFormat="1" applyFont="1" applyFill="1" applyBorder="1" applyAlignment="1">
      <alignment horizontal="center" vertical="center"/>
    </xf>
    <xf numFmtId="0" fontId="64" fillId="6" borderId="15" xfId="50" applyFont="1" applyFill="1" applyBorder="1"/>
    <xf numFmtId="0" fontId="64" fillId="6" borderId="0" xfId="50" applyFont="1" applyFill="1"/>
    <xf numFmtId="0" fontId="64" fillId="6" borderId="29" xfId="50" applyFont="1" applyFill="1" applyBorder="1"/>
    <xf numFmtId="0" fontId="64" fillId="6" borderId="0" xfId="50" applyFont="1" applyFill="1" applyBorder="1"/>
    <xf numFmtId="0" fontId="64" fillId="6" borderId="24" xfId="50" applyFont="1" applyFill="1" applyBorder="1"/>
    <xf numFmtId="0" fontId="79" fillId="2" borderId="27" xfId="50" applyFont="1" applyFill="1" applyBorder="1" applyAlignment="1">
      <alignment vertical="center"/>
    </xf>
    <xf numFmtId="0" fontId="64" fillId="6" borderId="0" xfId="50" applyFont="1" applyFill="1" applyAlignment="1">
      <alignment vertical="center"/>
    </xf>
    <xf numFmtId="0" fontId="64" fillId="6" borderId="0" xfId="50" applyFont="1" applyFill="1" applyBorder="1" applyAlignment="1">
      <alignment vertical="center"/>
    </xf>
    <xf numFmtId="0" fontId="64" fillId="6" borderId="24" xfId="50" applyFont="1" applyFill="1" applyBorder="1" applyAlignment="1">
      <alignment vertical="center"/>
    </xf>
    <xf numFmtId="0" fontId="64" fillId="10" borderId="128" xfId="50" applyFont="1" applyFill="1" applyBorder="1" applyAlignment="1">
      <alignment vertical="center"/>
    </xf>
    <xf numFmtId="166" fontId="64" fillId="6" borderId="0" xfId="50" applyNumberFormat="1" applyFont="1" applyFill="1" applyBorder="1" applyAlignment="1">
      <alignment vertical="center"/>
    </xf>
    <xf numFmtId="0" fontId="64" fillId="6" borderId="140" xfId="50" applyFont="1" applyFill="1" applyBorder="1" applyAlignment="1">
      <alignment vertical="center"/>
    </xf>
    <xf numFmtId="0" fontId="64" fillId="0" borderId="48" xfId="50" applyFont="1" applyBorder="1" applyAlignment="1">
      <alignment vertical="center"/>
    </xf>
    <xf numFmtId="0" fontId="64" fillId="6" borderId="86" xfId="50" applyFont="1" applyFill="1" applyBorder="1" applyAlignment="1">
      <alignment vertical="center"/>
    </xf>
    <xf numFmtId="0" fontId="123" fillId="6" borderId="0" xfId="0" applyFont="1" applyFill="1" applyBorder="1" applyAlignment="1">
      <alignment vertical="center" wrapText="1"/>
    </xf>
    <xf numFmtId="0" fontId="64" fillId="6" borderId="278" xfId="50" applyFont="1" applyFill="1" applyBorder="1" applyAlignment="1">
      <alignment vertical="center"/>
    </xf>
    <xf numFmtId="0" fontId="64" fillId="6" borderId="23" xfId="50" applyFont="1" applyFill="1" applyBorder="1" applyAlignment="1">
      <alignment vertical="center"/>
    </xf>
    <xf numFmtId="0" fontId="64" fillId="0" borderId="128" xfId="50" applyFont="1" applyBorder="1" applyAlignment="1">
      <alignment vertical="center"/>
    </xf>
    <xf numFmtId="0" fontId="264" fillId="6" borderId="0" xfId="50" applyFont="1" applyFill="1" applyAlignment="1">
      <alignment horizontal="center"/>
    </xf>
    <xf numFmtId="0" fontId="79" fillId="2" borderId="150" xfId="50" applyFont="1" applyFill="1" applyBorder="1" applyAlignment="1">
      <alignment horizontal="center" vertical="center"/>
    </xf>
    <xf numFmtId="166" fontId="64" fillId="6" borderId="0" xfId="50" applyNumberFormat="1" applyFont="1" applyFill="1" applyAlignment="1">
      <alignment vertical="center"/>
    </xf>
    <xf numFmtId="166" fontId="64" fillId="6" borderId="86" xfId="50" applyNumberFormat="1" applyFont="1" applyFill="1" applyBorder="1" applyAlignment="1">
      <alignment vertical="center"/>
    </xf>
    <xf numFmtId="0" fontId="64" fillId="6" borderId="280" xfId="50" applyFont="1" applyFill="1" applyBorder="1" applyAlignment="1">
      <alignment vertical="center"/>
    </xf>
    <xf numFmtId="0" fontId="64" fillId="0" borderId="47" xfId="50" applyFont="1" applyBorder="1" applyAlignment="1">
      <alignment vertical="center"/>
    </xf>
    <xf numFmtId="0" fontId="64" fillId="0" borderId="50" xfId="50" applyFont="1" applyBorder="1" applyAlignment="1">
      <alignment vertical="center"/>
    </xf>
    <xf numFmtId="166" fontId="64" fillId="6" borderId="21" xfId="50" applyNumberFormat="1" applyFont="1" applyFill="1" applyBorder="1" applyAlignment="1">
      <alignment vertical="center"/>
    </xf>
    <xf numFmtId="0" fontId="64" fillId="6" borderId="19" xfId="50" applyFont="1" applyFill="1" applyBorder="1" applyAlignment="1">
      <alignment vertical="center"/>
    </xf>
    <xf numFmtId="0" fontId="123" fillId="6" borderId="19" xfId="50" applyFont="1" applyFill="1" applyBorder="1" applyAlignment="1">
      <alignment vertical="center"/>
    </xf>
    <xf numFmtId="0" fontId="64" fillId="6" borderId="20" xfId="50" applyFont="1" applyFill="1" applyBorder="1" applyAlignment="1">
      <alignment vertical="center"/>
    </xf>
    <xf numFmtId="0" fontId="198" fillId="2" borderId="17" xfId="0" applyFont="1" applyFill="1" applyBorder="1" applyAlignment="1">
      <alignment horizontal="center" vertical="center"/>
    </xf>
    <xf numFmtId="16" fontId="233" fillId="13" borderId="210" xfId="0" applyNumberFormat="1" applyFont="1" applyFill="1" applyBorder="1" applyAlignment="1">
      <alignment horizontal="center" vertical="center"/>
    </xf>
    <xf numFmtId="0" fontId="0" fillId="6" borderId="204" xfId="0" applyFill="1" applyBorder="1"/>
    <xf numFmtId="0" fontId="0" fillId="6" borderId="139" xfId="0" applyFill="1" applyBorder="1"/>
    <xf numFmtId="0" fontId="0" fillId="6" borderId="140" xfId="0" applyFill="1" applyBorder="1"/>
    <xf numFmtId="0" fontId="123" fillId="6" borderId="140" xfId="0" applyFont="1" applyFill="1" applyBorder="1"/>
    <xf numFmtId="0" fontId="0" fillId="6" borderId="173" xfId="0" applyFill="1" applyBorder="1"/>
    <xf numFmtId="0" fontId="0" fillId="17" borderId="0" xfId="0" applyFill="1" applyBorder="1"/>
    <xf numFmtId="0" fontId="123" fillId="17" borderId="0" xfId="0" applyFont="1" applyFill="1" applyBorder="1" applyAlignment="1">
      <alignment vertical="top"/>
    </xf>
    <xf numFmtId="0" fontId="88" fillId="17" borderId="0" xfId="0" applyFont="1" applyFill="1" applyBorder="1"/>
    <xf numFmtId="0" fontId="208" fillId="2" borderId="159" xfId="0" applyFont="1" applyFill="1" applyBorder="1" applyAlignment="1">
      <alignment horizontal="right" vertical="center"/>
    </xf>
    <xf numFmtId="0" fontId="208" fillId="2" borderId="229" xfId="0" applyFont="1" applyFill="1" applyBorder="1" applyAlignment="1">
      <alignment horizontal="right" vertical="center"/>
    </xf>
    <xf numFmtId="0" fontId="87" fillId="2" borderId="165" xfId="0" applyFont="1" applyFill="1" applyBorder="1" applyAlignment="1">
      <alignment horizontal="center" vertical="center"/>
    </xf>
    <xf numFmtId="0" fontId="26" fillId="6" borderId="250" xfId="0" applyFont="1" applyFill="1" applyBorder="1"/>
    <xf numFmtId="0" fontId="52" fillId="6" borderId="250" xfId="0" applyFont="1" applyFill="1" applyBorder="1" applyAlignment="1">
      <alignment horizontal="center" vertical="center"/>
    </xf>
    <xf numFmtId="0" fontId="52" fillId="6" borderId="143" xfId="0" applyFont="1" applyFill="1" applyBorder="1" applyAlignment="1">
      <alignment horizontal="center" vertical="center"/>
    </xf>
    <xf numFmtId="0" fontId="0" fillId="6" borderId="29" xfId="0" applyFill="1" applyBorder="1"/>
    <xf numFmtId="16" fontId="213" fillId="8" borderId="182" xfId="0" applyNumberFormat="1" applyFont="1" applyFill="1" applyBorder="1" applyAlignment="1">
      <alignment horizontal="center" vertical="center"/>
    </xf>
    <xf numFmtId="0" fontId="0" fillId="0" borderId="300" xfId="0" applyFill="1" applyBorder="1"/>
    <xf numFmtId="0" fontId="0" fillId="0" borderId="302" xfId="0" applyFill="1" applyBorder="1"/>
    <xf numFmtId="0" fontId="0" fillId="0" borderId="300" xfId="0" applyBorder="1"/>
    <xf numFmtId="0" fontId="0" fillId="0" borderId="302" xfId="0" applyBorder="1"/>
    <xf numFmtId="0" fontId="0" fillId="0" borderId="122" xfId="0" applyBorder="1"/>
    <xf numFmtId="0" fontId="79" fillId="2" borderId="144" xfId="0" applyFont="1" applyFill="1" applyBorder="1" applyAlignment="1">
      <alignment horizontal="center" vertical="center"/>
    </xf>
    <xf numFmtId="0" fontId="201" fillId="2" borderId="27" xfId="0" applyFont="1" applyFill="1" applyBorder="1" applyAlignment="1">
      <alignment horizontal="center" vertical="center"/>
    </xf>
    <xf numFmtId="16" fontId="201" fillId="2" borderId="27" xfId="0" applyNumberFormat="1" applyFont="1" applyFill="1" applyBorder="1" applyAlignment="1">
      <alignment horizontal="center" vertical="center"/>
    </xf>
    <xf numFmtId="0" fontId="0" fillId="6" borderId="102" xfId="0" applyFill="1" applyBorder="1"/>
    <xf numFmtId="0" fontId="0" fillId="6" borderId="299" xfId="0" applyFill="1" applyBorder="1"/>
    <xf numFmtId="0" fontId="213" fillId="10" borderId="22" xfId="0" applyFont="1" applyFill="1" applyBorder="1" applyAlignment="1">
      <alignment horizontal="center" vertical="center"/>
    </xf>
    <xf numFmtId="0" fontId="82" fillId="18" borderId="22" xfId="0" applyFont="1" applyFill="1" applyBorder="1" applyAlignment="1">
      <alignment horizontal="center" vertical="center" wrapText="1"/>
    </xf>
    <xf numFmtId="0" fontId="78" fillId="6" borderId="301" xfId="0" applyFont="1" applyFill="1" applyBorder="1" applyAlignment="1">
      <alignment horizontal="left" vertical="center"/>
    </xf>
    <xf numFmtId="0" fontId="78" fillId="6" borderId="108" xfId="0" applyFont="1" applyFill="1" applyBorder="1"/>
    <xf numFmtId="0" fontId="78" fillId="6" borderId="108" xfId="0" applyFont="1" applyFill="1" applyBorder="1" applyAlignment="1">
      <alignment horizontal="left" vertical="center"/>
    </xf>
    <xf numFmtId="0" fontId="0" fillId="6" borderId="108" xfId="0" applyFill="1" applyBorder="1"/>
    <xf numFmtId="0" fontId="0" fillId="6" borderId="116" xfId="0" applyFill="1" applyBorder="1"/>
    <xf numFmtId="0" fontId="70" fillId="8" borderId="144" xfId="0" applyFont="1" applyFill="1" applyBorder="1" applyAlignment="1">
      <alignment horizontal="center" vertical="center"/>
    </xf>
    <xf numFmtId="9" fontId="70" fillId="6" borderId="24" xfId="0" applyNumberFormat="1" applyFont="1" applyFill="1" applyBorder="1" applyAlignment="1">
      <alignment horizontal="center" vertical="center"/>
    </xf>
    <xf numFmtId="0" fontId="134" fillId="9" borderId="160" xfId="0" applyFont="1" applyFill="1" applyBorder="1" applyAlignment="1">
      <alignment horizontal="center" vertical="center" wrapText="1"/>
    </xf>
    <xf numFmtId="0" fontId="226" fillId="0" borderId="0" xfId="0" applyFont="1" applyBorder="1" applyAlignment="1">
      <alignment horizontal="center" vertical="center"/>
    </xf>
    <xf numFmtId="0" fontId="253" fillId="0" borderId="0" xfId="0" applyFont="1" applyFill="1" applyBorder="1" applyAlignment="1">
      <alignment horizontal="center" vertical="center"/>
    </xf>
    <xf numFmtId="0" fontId="226" fillId="0" borderId="0" xfId="0" applyFont="1"/>
    <xf numFmtId="0" fontId="226" fillId="0" borderId="0" xfId="0" applyFont="1" applyBorder="1" applyAlignment="1"/>
    <xf numFmtId="0" fontId="73" fillId="0" borderId="0" xfId="50" applyFont="1" applyFill="1" applyBorder="1" applyAlignment="1">
      <alignment horizontal="left" vertical="center"/>
    </xf>
    <xf numFmtId="0" fontId="73" fillId="9" borderId="0" xfId="50" applyFont="1" applyFill="1" applyBorder="1" applyAlignment="1">
      <alignment horizontal="left" vertical="center"/>
    </xf>
    <xf numFmtId="0" fontId="226" fillId="0" borderId="0" xfId="0" applyFont="1" applyFill="1"/>
    <xf numFmtId="166" fontId="223" fillId="0" borderId="0" xfId="0" applyNumberFormat="1" applyFont="1" applyBorder="1" applyAlignment="1">
      <alignment horizontal="center" vertical="center"/>
    </xf>
    <xf numFmtId="0" fontId="70" fillId="0" borderId="22" xfId="0" applyFont="1" applyBorder="1" applyAlignment="1">
      <alignment horizontal="center" vertical="center" wrapText="1"/>
    </xf>
    <xf numFmtId="0" fontId="70" fillId="0" borderId="144" xfId="0" applyFont="1" applyBorder="1" applyAlignment="1">
      <alignment horizontal="center" vertical="center" wrapText="1"/>
    </xf>
    <xf numFmtId="0" fontId="70" fillId="0" borderId="192" xfId="0" applyFont="1" applyBorder="1" applyAlignment="1">
      <alignment horizontal="center" vertical="center" wrapText="1"/>
    </xf>
    <xf numFmtId="6" fontId="268" fillId="7" borderId="22" xfId="0" applyNumberFormat="1" applyFont="1" applyFill="1" applyBorder="1" applyAlignment="1">
      <alignment horizontal="center" vertical="center"/>
    </xf>
    <xf numFmtId="6" fontId="268" fillId="7" borderId="195" xfId="0" applyNumberFormat="1" applyFont="1" applyFill="1" applyBorder="1" applyAlignment="1">
      <alignment horizontal="center" vertical="center"/>
    </xf>
    <xf numFmtId="0" fontId="70" fillId="0" borderId="22" xfId="0" applyFont="1" applyBorder="1" applyAlignment="1">
      <alignment horizontal="center" vertical="center"/>
    </xf>
    <xf numFmtId="0" fontId="70" fillId="0" borderId="195" xfId="0" applyFont="1" applyBorder="1" applyAlignment="1">
      <alignment horizontal="center" vertical="center"/>
    </xf>
    <xf numFmtId="0" fontId="0" fillId="0" borderId="22" xfId="0" applyFont="1" applyBorder="1" applyAlignment="1">
      <alignment horizontal="center" vertical="center"/>
    </xf>
    <xf numFmtId="0" fontId="0" fillId="0" borderId="195" xfId="0" applyFont="1" applyBorder="1" applyAlignment="1">
      <alignment horizontal="center" vertical="center"/>
    </xf>
    <xf numFmtId="0" fontId="70" fillId="0" borderId="195"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195" xfId="0" applyFont="1" applyBorder="1" applyAlignment="1">
      <alignment horizontal="center" vertical="center" wrapText="1"/>
    </xf>
    <xf numFmtId="0" fontId="70" fillId="0" borderId="193" xfId="0" applyFont="1" applyBorder="1" applyAlignment="1">
      <alignment horizontal="center" vertical="center" wrapText="1"/>
    </xf>
    <xf numFmtId="0" fontId="70" fillId="0" borderId="196" xfId="0" applyFont="1" applyBorder="1" applyAlignment="1">
      <alignment horizontal="center" vertical="center"/>
    </xf>
    <xf numFmtId="0" fontId="0" fillId="0" borderId="196" xfId="0" applyFont="1" applyBorder="1" applyAlignment="1">
      <alignment horizontal="center" vertical="center"/>
    </xf>
    <xf numFmtId="0" fontId="70" fillId="0" borderId="196" xfId="0" applyFont="1" applyBorder="1" applyAlignment="1">
      <alignment horizontal="center" vertical="center" wrapText="1"/>
    </xf>
    <xf numFmtId="0" fontId="0" fillId="0" borderId="196" xfId="0" applyFont="1" applyBorder="1" applyAlignment="1">
      <alignment horizontal="center" vertical="center" wrapText="1"/>
    </xf>
    <xf numFmtId="0" fontId="162" fillId="2" borderId="254" xfId="0" applyNumberFormat="1" applyFont="1" applyFill="1" applyBorder="1" applyAlignment="1">
      <alignment horizontal="center" vertical="center"/>
    </xf>
    <xf numFmtId="2" fontId="33" fillId="0" borderId="23" xfId="0" applyNumberFormat="1" applyFont="1" applyBorder="1" applyAlignment="1">
      <alignment vertical="center"/>
    </xf>
    <xf numFmtId="2" fontId="0" fillId="0" borderId="47" xfId="0" applyNumberFormat="1" applyBorder="1" applyAlignment="1">
      <alignment vertical="center"/>
    </xf>
    <xf numFmtId="2" fontId="0" fillId="0" borderId="23" xfId="0" applyNumberFormat="1" applyBorder="1" applyAlignment="1">
      <alignment vertical="center"/>
    </xf>
    <xf numFmtId="0" fontId="162" fillId="2" borderId="147" xfId="0" applyNumberFormat="1" applyFont="1" applyFill="1" applyBorder="1" applyAlignment="1">
      <alignment horizontal="center" vertical="center"/>
    </xf>
    <xf numFmtId="2" fontId="33" fillId="0" borderId="24" xfId="0" applyNumberFormat="1" applyFont="1" applyBorder="1" applyAlignment="1">
      <alignment vertical="center"/>
    </xf>
    <xf numFmtId="2" fontId="0" fillId="0" borderId="49" xfId="0" applyNumberFormat="1" applyBorder="1" applyAlignment="1">
      <alignment vertical="center"/>
    </xf>
    <xf numFmtId="2" fontId="0" fillId="0" borderId="24" xfId="0" applyNumberFormat="1" applyBorder="1" applyAlignment="1">
      <alignment vertical="center"/>
    </xf>
    <xf numFmtId="0" fontId="51" fillId="0" borderId="90" xfId="0" applyFont="1" applyBorder="1" applyAlignment="1">
      <alignment horizontal="center" vertical="center"/>
    </xf>
    <xf numFmtId="2" fontId="33" fillId="0" borderId="90" xfId="0" applyNumberFormat="1" applyFont="1" applyBorder="1" applyAlignment="1">
      <alignment vertical="center"/>
    </xf>
    <xf numFmtId="2" fontId="0" fillId="0" borderId="90" xfId="0" applyNumberFormat="1" applyBorder="1" applyAlignment="1">
      <alignment vertical="center"/>
    </xf>
    <xf numFmtId="0" fontId="33" fillId="10" borderId="90" xfId="0" applyNumberFormat="1" applyFont="1" applyFill="1" applyBorder="1" applyAlignment="1">
      <alignment horizontal="center" vertical="center"/>
    </xf>
    <xf numFmtId="0" fontId="162" fillId="9" borderId="90" xfId="0" applyNumberFormat="1" applyFont="1" applyFill="1" applyBorder="1" applyAlignment="1">
      <alignment horizontal="center" vertical="center"/>
    </xf>
    <xf numFmtId="2" fontId="53" fillId="9" borderId="90" xfId="0" applyNumberFormat="1" applyFont="1" applyFill="1" applyBorder="1" applyAlignment="1">
      <alignment vertical="center"/>
    </xf>
    <xf numFmtId="2" fontId="0" fillId="9" borderId="90" xfId="0" applyNumberFormat="1" applyFill="1" applyBorder="1" applyAlignment="1">
      <alignment vertical="center"/>
    </xf>
    <xf numFmtId="2" fontId="53" fillId="9" borderId="0" xfId="0" applyNumberFormat="1" applyFont="1" applyFill="1" applyBorder="1" applyAlignment="1">
      <alignment vertical="center"/>
    </xf>
    <xf numFmtId="0" fontId="198" fillId="2" borderId="22" xfId="50" applyFont="1" applyFill="1" applyBorder="1" applyAlignment="1">
      <alignment horizontal="center" vertical="center"/>
    </xf>
    <xf numFmtId="0" fontId="92" fillId="8" borderId="158" xfId="50" applyFont="1" applyFill="1" applyBorder="1" applyAlignment="1">
      <alignment horizontal="center" vertical="center"/>
    </xf>
    <xf numFmtId="0" fontId="92" fillId="8" borderId="11" xfId="50" applyFont="1" applyFill="1" applyBorder="1" applyAlignment="1">
      <alignment horizontal="center" vertical="center"/>
    </xf>
    <xf numFmtId="0" fontId="92" fillId="8" borderId="13" xfId="50" applyFont="1" applyFill="1" applyBorder="1" applyAlignment="1">
      <alignment horizontal="center" vertical="center"/>
    </xf>
    <xf numFmtId="0" fontId="92" fillId="0" borderId="22" xfId="50" applyFont="1" applyBorder="1" applyAlignment="1">
      <alignment horizontal="center" vertical="center"/>
    </xf>
    <xf numFmtId="0" fontId="92" fillId="6" borderId="25" xfId="50" applyFont="1" applyFill="1" applyBorder="1" applyAlignment="1">
      <alignment horizontal="right" vertical="center"/>
    </xf>
    <xf numFmtId="0" fontId="92" fillId="6" borderId="27" xfId="50" applyFont="1" applyFill="1" applyBorder="1" applyAlignment="1">
      <alignment horizontal="left" vertical="center"/>
    </xf>
    <xf numFmtId="0" fontId="87" fillId="2" borderId="165" xfId="50" applyFont="1" applyFill="1" applyBorder="1" applyAlignment="1">
      <alignment horizontal="center" vertical="center" wrapText="1"/>
    </xf>
    <xf numFmtId="0" fontId="87" fillId="2" borderId="71" xfId="50" applyFont="1" applyFill="1" applyBorder="1" applyAlignment="1">
      <alignment horizontal="center" vertical="center" wrapText="1"/>
    </xf>
    <xf numFmtId="166" fontId="269" fillId="8" borderId="145" xfId="50" applyNumberFormat="1" applyFont="1" applyFill="1" applyBorder="1" applyAlignment="1">
      <alignment vertical="center"/>
    </xf>
    <xf numFmtId="166" fontId="269" fillId="8" borderId="11" xfId="50" applyNumberFormat="1" applyFont="1" applyFill="1" applyBorder="1" applyAlignment="1">
      <alignment vertical="center"/>
    </xf>
    <xf numFmtId="166" fontId="269" fillId="8" borderId="268" xfId="50" applyNumberFormat="1" applyFont="1" applyFill="1" applyBorder="1" applyAlignment="1">
      <alignment vertical="center"/>
    </xf>
    <xf numFmtId="166" fontId="70" fillId="0" borderId="269" xfId="50" applyNumberFormat="1" applyFont="1" applyBorder="1" applyAlignment="1">
      <alignment vertical="center"/>
    </xf>
    <xf numFmtId="166" fontId="70" fillId="0" borderId="270" xfId="50" applyNumberFormat="1" applyFont="1" applyBorder="1" applyAlignment="1">
      <alignment vertical="center"/>
    </xf>
    <xf numFmtId="0" fontId="87" fillId="2" borderId="4" xfId="50" applyFont="1" applyFill="1" applyBorder="1" applyAlignment="1">
      <alignment horizontal="center" vertical="center"/>
    </xf>
    <xf numFmtId="0" fontId="87" fillId="2" borderId="5" xfId="50" applyFont="1" applyFill="1" applyBorder="1" applyAlignment="1">
      <alignment horizontal="center" vertical="center"/>
    </xf>
    <xf numFmtId="0" fontId="87" fillId="2" borderId="6" xfId="50" applyFont="1" applyFill="1" applyBorder="1" applyAlignment="1">
      <alignment horizontal="center" vertical="center"/>
    </xf>
    <xf numFmtId="166" fontId="299" fillId="6" borderId="0" xfId="0" applyNumberFormat="1" applyFont="1" applyFill="1" applyBorder="1" applyAlignment="1">
      <alignment horizontal="center"/>
    </xf>
    <xf numFmtId="166" fontId="300" fillId="6" borderId="0" xfId="0" applyNumberFormat="1" applyFont="1" applyFill="1" applyBorder="1" applyAlignment="1">
      <alignment horizontal="center" vertical="center"/>
    </xf>
    <xf numFmtId="166" fontId="300" fillId="6" borderId="27" xfId="0" applyNumberFormat="1" applyFont="1" applyFill="1" applyBorder="1" applyAlignment="1">
      <alignment horizontal="center" vertical="center"/>
    </xf>
    <xf numFmtId="0" fontId="278" fillId="0" borderId="0" xfId="0" applyFont="1" applyAlignment="1">
      <alignment horizontal="center" vertical="top"/>
    </xf>
    <xf numFmtId="0" fontId="280" fillId="0" borderId="0" xfId="0" applyFont="1" applyAlignment="1">
      <alignment horizontal="center" vertical="center"/>
    </xf>
    <xf numFmtId="0" fontId="51" fillId="8" borderId="22" xfId="0" applyFont="1" applyFill="1" applyBorder="1" applyAlignment="1">
      <alignment horizontal="center" vertical="center"/>
    </xf>
    <xf numFmtId="0" fontId="163" fillId="8" borderId="22" xfId="0" applyFont="1" applyFill="1" applyBorder="1" applyAlignment="1">
      <alignment horizontal="center" vertical="center"/>
    </xf>
    <xf numFmtId="0" fontId="279" fillId="8" borderId="17" xfId="0" applyFont="1" applyFill="1" applyBorder="1" applyAlignment="1">
      <alignment horizontal="center" vertical="center"/>
    </xf>
    <xf numFmtId="0" fontId="123" fillId="0" borderId="115" xfId="0" applyFont="1" applyBorder="1" applyAlignment="1">
      <alignment horizontal="center" vertical="center" wrapText="1"/>
    </xf>
    <xf numFmtId="0" fontId="302" fillId="16" borderId="22" xfId="0" quotePrefix="1" applyFont="1" applyFill="1" applyBorder="1" applyAlignment="1">
      <alignment horizontal="center" vertical="center"/>
    </xf>
    <xf numFmtId="0" fontId="302" fillId="16" borderId="25" xfId="0" quotePrefix="1" applyFont="1" applyFill="1" applyBorder="1" applyAlignment="1">
      <alignment horizontal="center" vertical="center"/>
    </xf>
    <xf numFmtId="0" fontId="274" fillId="8" borderId="22" xfId="50" applyFont="1" applyFill="1" applyBorder="1" applyAlignment="1">
      <alignment horizontal="center" vertical="center" wrapText="1"/>
    </xf>
    <xf numFmtId="0" fontId="282" fillId="0" borderId="79" xfId="0" applyFont="1" applyBorder="1" applyAlignment="1">
      <alignment horizontal="center" vertical="center" wrapText="1"/>
    </xf>
    <xf numFmtId="0" fontId="282" fillId="0" borderId="75" xfId="0" applyFont="1" applyBorder="1" applyAlignment="1">
      <alignment horizontal="center" vertical="center" wrapText="1"/>
    </xf>
    <xf numFmtId="0" fontId="70" fillId="0" borderId="0" xfId="0" applyFont="1" applyBorder="1" applyAlignment="1">
      <alignment vertical="center"/>
    </xf>
    <xf numFmtId="0" fontId="0" fillId="6" borderId="25" xfId="0" applyFill="1" applyBorder="1"/>
    <xf numFmtId="0" fontId="0" fillId="6" borderId="27" xfId="0" applyFill="1" applyBorder="1"/>
    <xf numFmtId="0" fontId="83" fillId="6" borderId="0" xfId="0" applyFont="1" applyFill="1" applyBorder="1"/>
    <xf numFmtId="0" fontId="83" fillId="6" borderId="0" xfId="0" applyFont="1" applyFill="1" applyBorder="1" applyAlignment="1">
      <alignment horizontal="center" vertical="center" textRotation="90" wrapText="1"/>
    </xf>
    <xf numFmtId="0" fontId="187" fillId="6" borderId="0" xfId="0" applyFont="1" applyFill="1" applyBorder="1" applyAlignment="1">
      <alignment horizontal="center" vertical="center" textRotation="90"/>
    </xf>
    <xf numFmtId="0" fontId="84" fillId="6" borderId="0" xfId="0" applyFont="1" applyFill="1" applyBorder="1" applyAlignment="1">
      <alignment horizontal="center" vertical="center"/>
    </xf>
    <xf numFmtId="0" fontId="83" fillId="6" borderId="0" xfId="0" applyFont="1" applyFill="1"/>
    <xf numFmtId="0" fontId="84" fillId="6" borderId="174" xfId="0" applyFont="1" applyFill="1" applyBorder="1" applyAlignment="1">
      <alignment horizontal="center" vertical="center"/>
    </xf>
    <xf numFmtId="0" fontId="83" fillId="6" borderId="175" xfId="0" applyFont="1" applyFill="1" applyBorder="1"/>
    <xf numFmtId="0" fontId="83" fillId="6" borderId="108" xfId="0" applyFont="1" applyFill="1" applyBorder="1" applyAlignment="1">
      <alignment vertical="center"/>
    </xf>
    <xf numFmtId="167" fontId="185" fillId="6" borderId="0" xfId="0" applyNumberFormat="1" applyFont="1" applyFill="1" applyBorder="1" applyAlignment="1">
      <alignment horizontal="center" vertical="center" wrapText="1"/>
    </xf>
    <xf numFmtId="166" fontId="185" fillId="6" borderId="0" xfId="0" applyNumberFormat="1" applyFont="1" applyFill="1" applyBorder="1" applyAlignment="1">
      <alignment horizontal="center" vertical="center" wrapText="1"/>
    </xf>
    <xf numFmtId="0" fontId="83" fillId="6" borderId="0" xfId="0" applyFont="1" applyFill="1" applyBorder="1" applyAlignment="1">
      <alignment horizontal="center" vertical="center" wrapText="1"/>
    </xf>
    <xf numFmtId="0" fontId="0" fillId="6" borderId="15" xfId="0" applyFill="1" applyBorder="1" applyAlignment="1">
      <alignment horizontal="center" vertical="center"/>
    </xf>
    <xf numFmtId="166" fontId="11" fillId="6" borderId="0" xfId="0" applyNumberFormat="1" applyFont="1" applyFill="1" applyBorder="1" applyAlignment="1">
      <alignment horizontal="center" vertical="center" wrapText="1"/>
    </xf>
    <xf numFmtId="0" fontId="83" fillId="6" borderId="0" xfId="0" applyFont="1" applyFill="1" applyBorder="1" applyAlignment="1">
      <alignment vertical="center"/>
    </xf>
    <xf numFmtId="0" fontId="83" fillId="6" borderId="26" xfId="0" applyFont="1" applyFill="1" applyBorder="1"/>
    <xf numFmtId="0" fontId="249" fillId="6" borderId="48" xfId="0" applyFont="1" applyFill="1" applyBorder="1" applyAlignment="1">
      <alignment horizontal="center" vertical="center" textRotation="90"/>
    </xf>
    <xf numFmtId="0" fontId="249" fillId="6" borderId="167" xfId="0" applyFont="1" applyFill="1" applyBorder="1" applyAlignment="1">
      <alignment horizontal="center" vertical="center" textRotation="90"/>
    </xf>
    <xf numFmtId="0" fontId="288" fillId="6" borderId="76" xfId="0" applyFont="1" applyFill="1" applyBorder="1" applyAlignment="1">
      <alignment horizontal="center" vertical="center"/>
    </xf>
    <xf numFmtId="0" fontId="24" fillId="6" borderId="0" xfId="0" applyFont="1" applyFill="1" applyBorder="1" applyAlignment="1">
      <alignment horizontal="center" vertical="top" wrapText="1"/>
    </xf>
    <xf numFmtId="0" fontId="128" fillId="6" borderId="0" xfId="0" applyFont="1" applyFill="1" applyBorder="1" applyAlignment="1">
      <alignment horizontal="center" vertical="center" wrapText="1"/>
    </xf>
    <xf numFmtId="0" fontId="14" fillId="6" borderId="0" xfId="0" applyFont="1" applyFill="1" applyAlignment="1">
      <alignment horizontal="center" vertical="top"/>
    </xf>
    <xf numFmtId="0" fontId="17" fillId="6" borderId="0" xfId="0" applyFont="1" applyFill="1" applyBorder="1" applyAlignment="1">
      <alignment horizontal="center" vertical="top"/>
    </xf>
    <xf numFmtId="0" fontId="0" fillId="6" borderId="0" xfId="0" applyFill="1"/>
    <xf numFmtId="0" fontId="43" fillId="6" borderId="0" xfId="50" applyFill="1"/>
    <xf numFmtId="0" fontId="46" fillId="6" borderId="0" xfId="50" applyFont="1" applyFill="1" applyBorder="1"/>
    <xf numFmtId="9" fontId="57" fillId="6" borderId="0" xfId="50" applyNumberFormat="1" applyFont="1" applyFill="1" applyBorder="1" applyAlignment="1">
      <alignment horizontal="center"/>
    </xf>
    <xf numFmtId="164" fontId="46" fillId="6" borderId="0" xfId="50" applyNumberFormat="1" applyFont="1" applyFill="1" applyBorder="1" applyAlignment="1">
      <alignment horizontal="center"/>
    </xf>
    <xf numFmtId="0" fontId="43" fillId="6" borderId="18" xfId="50" applyFill="1" applyBorder="1"/>
    <xf numFmtId="0" fontId="49" fillId="6" borderId="15" xfId="50" applyFont="1" applyFill="1" applyBorder="1" applyAlignment="1">
      <alignment vertical="center"/>
    </xf>
    <xf numFmtId="0" fontId="201" fillId="14" borderId="26" xfId="50" applyFont="1" applyFill="1" applyBorder="1" applyAlignment="1">
      <alignment horizontal="center" vertical="center"/>
    </xf>
    <xf numFmtId="0" fontId="275" fillId="0" borderId="25" xfId="0" applyFont="1" applyBorder="1" applyAlignment="1">
      <alignment horizontal="right" vertical="center"/>
    </xf>
    <xf numFmtId="0" fontId="79" fillId="2" borderId="22" xfId="0" applyFont="1" applyFill="1" applyBorder="1" applyAlignment="1">
      <alignment horizontal="center" vertical="center"/>
    </xf>
    <xf numFmtId="166" fontId="123" fillId="0" borderId="27" xfId="0" applyNumberFormat="1" applyFont="1" applyBorder="1" applyAlignment="1">
      <alignment horizontal="center" vertical="center"/>
    </xf>
    <xf numFmtId="166" fontId="123" fillId="0" borderId="22" xfId="0" applyNumberFormat="1" applyFont="1" applyBorder="1" applyAlignment="1">
      <alignment horizontal="center" vertical="center"/>
    </xf>
    <xf numFmtId="0" fontId="123" fillId="0" borderId="17" xfId="0" applyFont="1" applyBorder="1" applyAlignment="1">
      <alignment horizontal="center" vertical="top"/>
    </xf>
    <xf numFmtId="0" fontId="0" fillId="0" borderId="49" xfId="0" applyFont="1" applyBorder="1"/>
    <xf numFmtId="0" fontId="0" fillId="0" borderId="164" xfId="0" applyFont="1" applyBorder="1"/>
    <xf numFmtId="0" fontId="0" fillId="0" borderId="48" xfId="0" applyFont="1" applyBorder="1"/>
    <xf numFmtId="0" fontId="28" fillId="6" borderId="15" xfId="0" applyFont="1" applyFill="1" applyBorder="1" applyAlignment="1">
      <alignment horizontal="center"/>
    </xf>
    <xf numFmtId="0" fontId="162" fillId="2" borderId="17" xfId="0" applyFont="1" applyFill="1" applyBorder="1" applyAlignment="1">
      <alignment horizontal="center" vertical="center" wrapText="1"/>
    </xf>
    <xf numFmtId="0" fontId="162" fillId="2" borderId="234" xfId="0" applyFont="1" applyFill="1" applyBorder="1" applyAlignment="1"/>
    <xf numFmtId="0" fontId="0" fillId="0" borderId="24" xfId="0" applyBorder="1"/>
    <xf numFmtId="0" fontId="0" fillId="0" borderId="163" xfId="0" applyBorder="1"/>
    <xf numFmtId="0" fontId="124" fillId="0" borderId="8" xfId="0" applyFont="1" applyBorder="1" applyAlignment="1">
      <alignment horizontal="center"/>
    </xf>
    <xf numFmtId="0" fontId="124" fillId="0" borderId="11" xfId="0" applyFont="1" applyBorder="1" applyAlignment="1">
      <alignment horizontal="center"/>
    </xf>
    <xf numFmtId="0" fontId="124" fillId="0" borderId="133" xfId="0" applyFont="1" applyBorder="1" applyAlignment="1">
      <alignment horizontal="center"/>
    </xf>
    <xf numFmtId="0" fontId="124" fillId="0" borderId="145" xfId="0" applyFont="1" applyBorder="1" applyAlignment="1">
      <alignment horizontal="center"/>
    </xf>
    <xf numFmtId="0" fontId="124" fillId="0" borderId="86" xfId="0" applyFont="1" applyBorder="1" applyAlignment="1">
      <alignment horizontal="center"/>
    </xf>
    <xf numFmtId="0" fontId="309" fillId="0" borderId="0" xfId="0" applyFont="1"/>
    <xf numFmtId="0" fontId="309" fillId="0" borderId="0" xfId="0" applyFont="1" applyAlignment="1">
      <alignment vertical="center"/>
    </xf>
    <xf numFmtId="0" fontId="52" fillId="9" borderId="22" xfId="0" applyFont="1" applyFill="1" applyBorder="1" applyAlignment="1">
      <alignment vertical="center" wrapText="1"/>
    </xf>
    <xf numFmtId="0" fontId="0" fillId="9" borderId="26" xfId="0" applyFill="1" applyBorder="1" applyAlignment="1">
      <alignment vertical="center"/>
    </xf>
    <xf numFmtId="0" fontId="64" fillId="9" borderId="22" xfId="0" applyFont="1" applyFill="1" applyBorder="1" applyAlignment="1">
      <alignment vertical="center" wrapText="1"/>
    </xf>
    <xf numFmtId="9" fontId="310" fillId="6" borderId="8" xfId="67" applyFont="1" applyFill="1" applyBorder="1" applyAlignment="1">
      <alignment horizontal="center"/>
    </xf>
    <xf numFmtId="9" fontId="307" fillId="6" borderId="214" xfId="67" applyFont="1" applyFill="1" applyBorder="1" applyAlignment="1">
      <alignment horizontal="center"/>
    </xf>
    <xf numFmtId="9" fontId="307" fillId="6" borderId="133" xfId="67" applyFont="1" applyFill="1" applyBorder="1" applyAlignment="1">
      <alignment horizontal="center"/>
    </xf>
    <xf numFmtId="9" fontId="307" fillId="6" borderId="11" xfId="67" applyFont="1" applyFill="1" applyBorder="1" applyAlignment="1">
      <alignment horizontal="center"/>
    </xf>
    <xf numFmtId="9" fontId="310" fillId="6" borderId="86" xfId="67" applyFont="1" applyFill="1" applyBorder="1" applyAlignment="1">
      <alignment horizontal="center"/>
    </xf>
    <xf numFmtId="9" fontId="307" fillId="6" borderId="86" xfId="67" applyFont="1" applyFill="1" applyBorder="1" applyAlignment="1">
      <alignment horizontal="center"/>
    </xf>
    <xf numFmtId="9" fontId="306" fillId="6" borderId="8" xfId="67" applyFont="1" applyFill="1" applyBorder="1" applyAlignment="1">
      <alignment horizontal="center"/>
    </xf>
    <xf numFmtId="9" fontId="306" fillId="6" borderId="86" xfId="67" applyFont="1" applyFill="1" applyBorder="1" applyAlignment="1">
      <alignment horizontal="center"/>
    </xf>
    <xf numFmtId="0" fontId="28" fillId="6" borderId="151" xfId="0" applyFont="1" applyFill="1" applyBorder="1" applyAlignment="1">
      <alignment horizontal="center"/>
    </xf>
    <xf numFmtId="0" fontId="28" fillId="6" borderId="15" xfId="0" applyFont="1" applyFill="1" applyBorder="1" applyAlignment="1">
      <alignment horizontal="center"/>
    </xf>
    <xf numFmtId="0" fontId="276" fillId="6" borderId="15" xfId="0" applyFont="1" applyFill="1" applyBorder="1" applyAlignment="1">
      <alignment horizontal="center"/>
    </xf>
    <xf numFmtId="0" fontId="28" fillId="6" borderId="0" xfId="0" applyFont="1" applyFill="1" applyBorder="1" applyAlignment="1">
      <alignment horizontal="center"/>
    </xf>
    <xf numFmtId="0" fontId="276" fillId="6" borderId="0" xfId="0" applyFont="1" applyFill="1" applyBorder="1" applyAlignment="1">
      <alignment horizontal="center"/>
    </xf>
    <xf numFmtId="166" fontId="275" fillId="7" borderId="22" xfId="0" applyNumberFormat="1" applyFont="1" applyFill="1" applyBorder="1" applyAlignment="1">
      <alignment horizontal="center" vertical="center"/>
    </xf>
    <xf numFmtId="0" fontId="85" fillId="12" borderId="25" xfId="50" applyFont="1" applyFill="1" applyBorder="1" applyAlignment="1">
      <alignment horizontal="center" vertical="center"/>
    </xf>
    <xf numFmtId="0" fontId="64" fillId="12" borderId="27" xfId="0" applyFont="1" applyFill="1" applyBorder="1" applyAlignment="1">
      <alignment horizontal="center" vertical="center"/>
    </xf>
    <xf numFmtId="0" fontId="43" fillId="12" borderId="26" xfId="50" applyFill="1" applyBorder="1"/>
    <xf numFmtId="0" fontId="46" fillId="12" borderId="26" xfId="50" applyFont="1" applyFill="1" applyBorder="1"/>
    <xf numFmtId="0" fontId="0" fillId="12" borderId="27" xfId="0" applyFill="1" applyBorder="1"/>
    <xf numFmtId="0" fontId="43" fillId="12" borderId="25" xfId="50" applyFill="1" applyBorder="1"/>
    <xf numFmtId="0" fontId="0" fillId="12" borderId="35" xfId="0" applyFill="1" applyBorder="1"/>
    <xf numFmtId="0" fontId="0" fillId="12" borderId="26" xfId="0" applyFill="1" applyBorder="1"/>
    <xf numFmtId="0" fontId="267" fillId="6" borderId="0" xfId="0" applyFont="1" applyFill="1" applyBorder="1" applyAlignment="1">
      <alignment vertical="center"/>
    </xf>
    <xf numFmtId="0" fontId="84" fillId="7" borderId="15" xfId="0" applyFont="1" applyFill="1" applyBorder="1" applyAlignment="1">
      <alignment horizontal="center" vertical="center"/>
    </xf>
    <xf numFmtId="0" fontId="124" fillId="9" borderId="19" xfId="0" applyFont="1" applyFill="1" applyBorder="1" applyAlignment="1">
      <alignment horizontal="center" vertical="center" wrapText="1"/>
    </xf>
    <xf numFmtId="0" fontId="124" fillId="9" borderId="26" xfId="0" applyFont="1" applyFill="1" applyBorder="1" applyAlignment="1">
      <alignment horizontal="center" vertical="center"/>
    </xf>
    <xf numFmtId="0" fontId="124" fillId="9" borderId="235" xfId="0" applyFont="1" applyFill="1" applyBorder="1" applyAlignment="1">
      <alignment horizontal="center" vertical="center" wrapText="1"/>
    </xf>
    <xf numFmtId="0" fontId="124" fillId="9" borderId="0" xfId="0" applyFont="1" applyFill="1" applyBorder="1" applyAlignment="1">
      <alignment horizontal="center" vertical="center" wrapText="1"/>
    </xf>
    <xf numFmtId="0" fontId="127" fillId="9" borderId="18" xfId="0" applyFont="1" applyFill="1" applyBorder="1" applyAlignment="1">
      <alignment horizontal="center" vertical="center" wrapText="1"/>
    </xf>
    <xf numFmtId="0" fontId="59" fillId="6" borderId="86" xfId="0" applyFont="1" applyFill="1" applyBorder="1" applyAlignment="1">
      <alignment vertical="center"/>
    </xf>
    <xf numFmtId="0" fontId="127" fillId="7" borderId="193" xfId="0" applyFont="1" applyFill="1" applyBorder="1" applyAlignment="1">
      <alignment horizontal="center" vertical="center" wrapText="1"/>
    </xf>
    <xf numFmtId="0" fontId="127" fillId="7" borderId="157" xfId="0" applyFont="1" applyFill="1" applyBorder="1" applyAlignment="1">
      <alignment horizontal="center" vertical="center" wrapText="1"/>
    </xf>
    <xf numFmtId="0" fontId="156" fillId="6" borderId="26" xfId="50" applyFont="1" applyFill="1" applyBorder="1" applyAlignment="1">
      <alignment horizontal="center" vertical="center"/>
    </xf>
    <xf numFmtId="0" fontId="163" fillId="0" borderId="0" xfId="0" applyFont="1" applyBorder="1" applyAlignment="1">
      <alignment horizontal="center" vertical="center"/>
    </xf>
    <xf numFmtId="0" fontId="236" fillId="0" borderId="0" xfId="0" applyFont="1" applyAlignment="1">
      <alignment vertical="top"/>
    </xf>
    <xf numFmtId="0" fontId="236" fillId="0" borderId="0" xfId="0" applyFont="1" applyAlignment="1"/>
    <xf numFmtId="0" fontId="295" fillId="0" borderId="0" xfId="0" applyFont="1" applyAlignment="1">
      <alignment vertical="top"/>
    </xf>
    <xf numFmtId="0" fontId="0" fillId="0" borderId="0" xfId="0" applyFont="1" applyAlignment="1"/>
    <xf numFmtId="0" fontId="236" fillId="0" borderId="0" xfId="0" applyFont="1" applyAlignment="1">
      <alignment horizontal="left"/>
    </xf>
    <xf numFmtId="0" fontId="295" fillId="0" borderId="0" xfId="0" applyFont="1" applyAlignment="1">
      <alignment horizontal="left"/>
    </xf>
    <xf numFmtId="0" fontId="236" fillId="0" borderId="0" xfId="0" applyFont="1"/>
    <xf numFmtId="0" fontId="236" fillId="0" borderId="0" xfId="0" applyFont="1" applyAlignment="1">
      <alignment vertical="center"/>
    </xf>
    <xf numFmtId="0" fontId="297" fillId="0" borderId="0" xfId="0" applyFont="1" applyAlignment="1">
      <alignment vertical="center"/>
    </xf>
    <xf numFmtId="0" fontId="0" fillId="0" borderId="0" xfId="0" applyAlignment="1">
      <alignment vertical="center"/>
    </xf>
    <xf numFmtId="0" fontId="0" fillId="0" borderId="0" xfId="0" applyAlignment="1"/>
    <xf numFmtId="0" fontId="71" fillId="8" borderId="247" xfId="0" applyFont="1" applyFill="1" applyBorder="1" applyAlignment="1">
      <alignment horizontal="center" vertical="center" wrapText="1"/>
    </xf>
    <xf numFmtId="0" fontId="217" fillId="2" borderId="22" xfId="0" applyFont="1" applyFill="1" applyBorder="1" applyAlignment="1">
      <alignment horizontal="center" vertical="center"/>
    </xf>
    <xf numFmtId="0" fontId="301" fillId="2" borderId="0" xfId="0" applyFont="1" applyFill="1" applyAlignment="1">
      <alignment horizontal="center" vertical="center" wrapText="1"/>
    </xf>
    <xf numFmtId="0" fontId="289" fillId="2" borderId="17" xfId="0" applyFont="1" applyFill="1" applyBorder="1" applyAlignment="1">
      <alignment horizontal="center" wrapText="1"/>
    </xf>
    <xf numFmtId="9" fontId="243" fillId="6" borderId="22" xfId="50" applyNumberFormat="1" applyFont="1" applyFill="1" applyBorder="1" applyAlignment="1">
      <alignment horizontal="center" vertical="center"/>
    </xf>
    <xf numFmtId="0" fontId="229" fillId="0" borderId="0" xfId="0" applyFont="1" applyAlignment="1">
      <alignment horizontal="right" vertical="center" wrapText="1"/>
    </xf>
    <xf numFmtId="0" fontId="332" fillId="0" borderId="0" xfId="0" applyFont="1" applyAlignment="1">
      <alignment horizontal="center" vertical="center"/>
    </xf>
    <xf numFmtId="0" fontId="332" fillId="0" borderId="0" xfId="0" applyFont="1"/>
    <xf numFmtId="0" fontId="229" fillId="0" borderId="0" xfId="0" applyFont="1" applyFill="1" applyBorder="1" applyAlignment="1">
      <alignment horizontal="right" vertical="center" wrapText="1"/>
    </xf>
    <xf numFmtId="0" fontId="229" fillId="0" borderId="293" xfId="0" applyFont="1" applyBorder="1" applyAlignment="1">
      <alignment horizontal="center" vertical="center" wrapText="1"/>
    </xf>
    <xf numFmtId="0" fontId="229" fillId="9" borderId="289" xfId="0" applyFont="1" applyFill="1" applyBorder="1" applyAlignment="1">
      <alignment horizontal="center" vertical="center" wrapText="1"/>
    </xf>
    <xf numFmtId="0" fontId="229" fillId="0" borderId="287" xfId="0" applyFont="1" applyFill="1" applyBorder="1" applyAlignment="1">
      <alignment horizontal="center" vertical="center" wrapText="1"/>
    </xf>
    <xf numFmtId="0" fontId="229" fillId="0" borderId="72" xfId="0" applyFont="1" applyBorder="1" applyAlignment="1">
      <alignment horizontal="center" vertical="center" wrapText="1"/>
    </xf>
    <xf numFmtId="0" fontId="334" fillId="8" borderId="181" xfId="0" applyFont="1" applyFill="1" applyBorder="1" applyAlignment="1">
      <alignment horizontal="center" vertical="center"/>
    </xf>
    <xf numFmtId="12" fontId="334" fillId="8" borderId="181" xfId="0" applyNumberFormat="1" applyFont="1" applyFill="1" applyBorder="1" applyAlignment="1">
      <alignment horizontal="center" vertical="center"/>
    </xf>
    <xf numFmtId="9" fontId="69" fillId="2" borderId="22" xfId="0" applyNumberFormat="1" applyFont="1" applyFill="1" applyBorder="1" applyAlignment="1">
      <alignment horizontal="center" vertical="center"/>
    </xf>
    <xf numFmtId="166" fontId="51" fillId="0" borderId="22" xfId="0" applyNumberFormat="1" applyFont="1" applyBorder="1" applyAlignment="1">
      <alignment horizontal="center" vertical="center"/>
    </xf>
    <xf numFmtId="0" fontId="302" fillId="2" borderId="22" xfId="0" applyFont="1" applyFill="1" applyBorder="1" applyAlignment="1">
      <alignment horizontal="center"/>
    </xf>
    <xf numFmtId="166" fontId="336" fillId="8" borderId="22" xfId="50" applyNumberFormat="1" applyFont="1" applyFill="1" applyBorder="1" applyAlignment="1">
      <alignment horizontal="center" vertical="center"/>
    </xf>
    <xf numFmtId="12" fontId="337" fillId="8" borderId="22" xfId="50" applyNumberFormat="1" applyFont="1" applyFill="1" applyBorder="1" applyAlignment="1">
      <alignment horizontal="center" vertical="center"/>
    </xf>
    <xf numFmtId="0" fontId="336" fillId="8" borderId="22" xfId="50" applyFont="1" applyFill="1" applyBorder="1" applyAlignment="1">
      <alignment horizontal="center" vertical="center"/>
    </xf>
    <xf numFmtId="0" fontId="336" fillId="8" borderId="22" xfId="0" applyFont="1" applyFill="1" applyBorder="1" applyAlignment="1">
      <alignment horizontal="center" vertical="center"/>
    </xf>
    <xf numFmtId="166" fontId="249" fillId="8" borderId="22" xfId="50" applyNumberFormat="1" applyFont="1" applyFill="1" applyBorder="1" applyAlignment="1">
      <alignment horizontal="center" vertical="center"/>
    </xf>
    <xf numFmtId="166" fontId="249" fillId="8" borderId="22" xfId="0" applyNumberFormat="1" applyFont="1" applyFill="1" applyBorder="1" applyAlignment="1">
      <alignment horizontal="center" vertical="center"/>
    </xf>
    <xf numFmtId="0" fontId="245" fillId="8" borderId="22" xfId="0" applyFont="1" applyFill="1" applyBorder="1" applyAlignment="1">
      <alignment horizontal="center" vertical="center"/>
    </xf>
    <xf numFmtId="0" fontId="338" fillId="8" borderId="196" xfId="0" applyFont="1" applyFill="1" applyBorder="1" applyAlignment="1">
      <alignment horizontal="center" vertical="center" wrapText="1"/>
    </xf>
    <xf numFmtId="0" fontId="338" fillId="8" borderId="160" xfId="0" applyFont="1" applyFill="1" applyBorder="1" applyAlignment="1">
      <alignment horizontal="center" vertical="center" wrapText="1"/>
    </xf>
    <xf numFmtId="0" fontId="338" fillId="8" borderId="27" xfId="0" applyFont="1" applyFill="1" applyBorder="1" applyAlignment="1">
      <alignment horizontal="center" vertical="center" wrapText="1"/>
    </xf>
    <xf numFmtId="0" fontId="338" fillId="8" borderId="25" xfId="0" applyFont="1" applyFill="1" applyBorder="1" applyAlignment="1">
      <alignment horizontal="center" vertical="center" wrapText="1"/>
    </xf>
    <xf numFmtId="0" fontId="338" fillId="8" borderId="159" xfId="0" applyFont="1" applyFill="1" applyBorder="1" applyAlignment="1">
      <alignment horizontal="center" vertical="center" wrapText="1"/>
    </xf>
    <xf numFmtId="0" fontId="338" fillId="8" borderId="195" xfId="0" applyFont="1" applyFill="1" applyBorder="1" applyAlignment="1">
      <alignment horizontal="center" vertical="center" wrapText="1"/>
    </xf>
    <xf numFmtId="168" fontId="338" fillId="8" borderId="27" xfId="0" applyNumberFormat="1" applyFont="1" applyFill="1" applyBorder="1" applyAlignment="1">
      <alignment horizontal="center" vertical="center"/>
    </xf>
    <xf numFmtId="168" fontId="338" fillId="8" borderId="160" xfId="0" applyNumberFormat="1" applyFont="1" applyFill="1" applyBorder="1" applyAlignment="1">
      <alignment horizontal="center" vertical="center"/>
    </xf>
    <xf numFmtId="168" fontId="338" fillId="8" borderId="25" xfId="0" applyNumberFormat="1" applyFont="1" applyFill="1" applyBorder="1" applyAlignment="1">
      <alignment horizontal="center" vertical="center"/>
    </xf>
    <xf numFmtId="0" fontId="339" fillId="8" borderId="22" xfId="0" applyFont="1" applyFill="1" applyBorder="1" applyAlignment="1">
      <alignment horizontal="center" vertical="center"/>
    </xf>
    <xf numFmtId="0" fontId="339" fillId="8" borderId="195" xfId="0" applyFont="1" applyFill="1" applyBorder="1" applyAlignment="1">
      <alignment horizontal="center" vertical="center"/>
    </xf>
    <xf numFmtId="0" fontId="339" fillId="8" borderId="22" xfId="0" applyFont="1" applyFill="1" applyBorder="1" applyAlignment="1">
      <alignment horizontal="center" vertical="center" wrapText="1"/>
    </xf>
    <xf numFmtId="0" fontId="339" fillId="8" borderId="195" xfId="0" applyFont="1" applyFill="1" applyBorder="1" applyAlignment="1">
      <alignment horizontal="center" vertical="center" wrapText="1"/>
    </xf>
    <xf numFmtId="0" fontId="339" fillId="8" borderId="199" xfId="0" applyFont="1" applyFill="1" applyBorder="1" applyAlignment="1">
      <alignment horizontal="center" vertical="center" wrapText="1"/>
    </xf>
    <xf numFmtId="0" fontId="339" fillId="8" borderId="200" xfId="0" applyFont="1" applyFill="1" applyBorder="1" applyAlignment="1">
      <alignment horizontal="center" vertical="center" wrapText="1"/>
    </xf>
    <xf numFmtId="0" fontId="339" fillId="8" borderId="196" xfId="0" applyFont="1" applyFill="1" applyBorder="1" applyAlignment="1">
      <alignment horizontal="center" vertical="center"/>
    </xf>
    <xf numFmtId="0" fontId="339" fillId="8" borderId="196" xfId="0" applyFont="1" applyFill="1" applyBorder="1" applyAlignment="1">
      <alignment horizontal="center" vertical="center" wrapText="1"/>
    </xf>
    <xf numFmtId="0" fontId="339" fillId="8" borderId="201" xfId="0" applyFont="1" applyFill="1" applyBorder="1" applyAlignment="1">
      <alignment horizontal="center" vertical="center" wrapText="1"/>
    </xf>
    <xf numFmtId="0" fontId="340" fillId="8" borderId="142" xfId="0" applyFont="1" applyFill="1" applyBorder="1" applyAlignment="1">
      <alignment horizontal="center" vertical="center" wrapText="1"/>
    </xf>
    <xf numFmtId="0" fontId="340" fillId="8" borderId="151" xfId="0" applyFont="1" applyFill="1" applyBorder="1" applyAlignment="1">
      <alignment horizontal="center" vertical="center" wrapText="1"/>
    </xf>
    <xf numFmtId="0" fontId="341" fillId="8" borderId="21" xfId="0" applyFont="1" applyFill="1" applyBorder="1" applyAlignment="1">
      <alignment horizontal="center" vertical="center"/>
    </xf>
    <xf numFmtId="0" fontId="342" fillId="8" borderId="159" xfId="0" applyFont="1" applyFill="1" applyBorder="1" applyAlignment="1">
      <alignment horizontal="center" vertical="center"/>
    </xf>
    <xf numFmtId="0" fontId="334" fillId="8" borderId="229" xfId="0" applyFont="1" applyFill="1" applyBorder="1" applyAlignment="1">
      <alignment horizontal="center" vertical="center"/>
    </xf>
    <xf numFmtId="0" fontId="198" fillId="11" borderId="250" xfId="0" applyFont="1" applyFill="1" applyBorder="1" applyAlignment="1"/>
    <xf numFmtId="0" fontId="198" fillId="11" borderId="208" xfId="0" applyFont="1" applyFill="1" applyBorder="1" applyAlignment="1"/>
    <xf numFmtId="0" fontId="0" fillId="6" borderId="250" xfId="0" applyFill="1" applyBorder="1"/>
    <xf numFmtId="0" fontId="0" fillId="6" borderId="208" xfId="0" applyFill="1" applyBorder="1" applyAlignment="1"/>
    <xf numFmtId="0" fontId="59" fillId="6" borderId="208" xfId="0" applyFont="1" applyFill="1" applyBorder="1"/>
    <xf numFmtId="0" fontId="0" fillId="6" borderId="143" xfId="0" applyFill="1" applyBorder="1"/>
    <xf numFmtId="0" fontId="59" fillId="6" borderId="188" xfId="0" applyFont="1" applyFill="1" applyBorder="1"/>
    <xf numFmtId="0" fontId="87" fillId="2" borderId="27" xfId="50" applyFont="1" applyFill="1" applyBorder="1" applyAlignment="1">
      <alignment horizontal="center" vertical="center"/>
    </xf>
    <xf numFmtId="0" fontId="198" fillId="0" borderId="0" xfId="0" applyFont="1"/>
    <xf numFmtId="0" fontId="87" fillId="2" borderId="53" xfId="50" applyFont="1" applyFill="1" applyBorder="1" applyAlignment="1">
      <alignment horizontal="center" vertical="center"/>
    </xf>
    <xf numFmtId="0" fontId="10" fillId="6" borderId="16" xfId="0" applyFont="1" applyFill="1" applyBorder="1" applyAlignment="1">
      <alignment horizontal="center"/>
    </xf>
    <xf numFmtId="0" fontId="10" fillId="6" borderId="30" xfId="0" applyFont="1" applyFill="1" applyBorder="1" applyAlignment="1">
      <alignment horizontal="center" wrapText="1"/>
    </xf>
    <xf numFmtId="0" fontId="0" fillId="0" borderId="0" xfId="0" applyAlignment="1">
      <alignment vertical="center"/>
    </xf>
    <xf numFmtId="0" fontId="149" fillId="0" borderId="29" xfId="0" applyFont="1" applyFill="1" applyBorder="1" applyAlignment="1">
      <alignment horizontal="right" vertical="center"/>
    </xf>
    <xf numFmtId="0" fontId="130" fillId="0" borderId="29" xfId="0" applyFont="1" applyFill="1" applyBorder="1" applyAlignment="1">
      <alignment vertical="center"/>
    </xf>
    <xf numFmtId="0" fontId="197" fillId="0" borderId="0" xfId="0" applyFont="1" applyFill="1" applyBorder="1" applyAlignment="1">
      <alignment horizontal="center" vertical="center"/>
    </xf>
    <xf numFmtId="1" fontId="149" fillId="0" borderId="0" xfId="0" applyNumberFormat="1" applyFont="1" applyFill="1" applyBorder="1" applyAlignment="1">
      <alignment horizontal="center" vertical="center"/>
    </xf>
    <xf numFmtId="10" fontId="207" fillId="0" borderId="151" xfId="0" applyNumberFormat="1" applyFont="1" applyFill="1" applyBorder="1" applyAlignment="1">
      <alignment horizontal="center" vertical="top"/>
    </xf>
    <xf numFmtId="10" fontId="207" fillId="0" borderId="29" xfId="0" applyNumberFormat="1" applyFont="1" applyFill="1" applyBorder="1" applyAlignment="1">
      <alignment horizontal="center" vertical="top"/>
    </xf>
    <xf numFmtId="2" fontId="207" fillId="0" borderId="29" xfId="0" applyNumberFormat="1" applyFont="1" applyFill="1" applyBorder="1" applyAlignment="1">
      <alignment horizontal="center" vertical="top"/>
    </xf>
    <xf numFmtId="0" fontId="309" fillId="0" borderId="0" xfId="0" applyFont="1" applyFill="1" applyBorder="1" applyAlignment="1">
      <alignment vertical="center"/>
    </xf>
    <xf numFmtId="0" fontId="0" fillId="0" borderId="0" xfId="0" applyFill="1" applyBorder="1" applyAlignment="1">
      <alignment vertical="center"/>
    </xf>
    <xf numFmtId="0" fontId="276" fillId="6" borderId="151" xfId="0" applyFont="1" applyFill="1" applyBorder="1" applyAlignment="1">
      <alignment horizontal="center"/>
    </xf>
    <xf numFmtId="0" fontId="28" fillId="6" borderId="29" xfId="0" applyFont="1" applyFill="1" applyBorder="1" applyAlignment="1">
      <alignment horizontal="center"/>
    </xf>
    <xf numFmtId="10" fontId="53" fillId="6" borderId="0" xfId="0" applyNumberFormat="1" applyFont="1" applyFill="1" applyBorder="1" applyAlignment="1">
      <alignment horizontal="center" vertical="center"/>
    </xf>
    <xf numFmtId="0" fontId="130" fillId="0" borderId="151" xfId="0" applyFont="1" applyFill="1" applyBorder="1" applyAlignment="1">
      <alignment vertical="center"/>
    </xf>
    <xf numFmtId="0" fontId="149" fillId="0" borderId="151" xfId="0" applyFont="1" applyFill="1" applyBorder="1" applyAlignment="1">
      <alignment horizontal="right" vertical="center"/>
    </xf>
    <xf numFmtId="0" fontId="197" fillId="0" borderId="151" xfId="0" applyFont="1" applyFill="1" applyBorder="1" applyAlignment="1">
      <alignment horizontal="center" vertical="center"/>
    </xf>
    <xf numFmtId="1" fontId="149" fillId="0" borderId="151" xfId="0" applyNumberFormat="1" applyFont="1" applyFill="1" applyBorder="1" applyAlignment="1">
      <alignment horizontal="center" vertical="center"/>
    </xf>
    <xf numFmtId="2" fontId="207" fillId="0" borderId="151" xfId="0" applyNumberFormat="1" applyFont="1" applyFill="1" applyBorder="1" applyAlignment="1">
      <alignment horizontal="center" vertical="top"/>
    </xf>
    <xf numFmtId="0" fontId="55" fillId="6" borderId="29" xfId="0" applyNumberFormat="1" applyFont="1" applyFill="1" applyBorder="1" applyAlignment="1">
      <alignment horizontal="center" vertical="top"/>
    </xf>
    <xf numFmtId="0" fontId="55" fillId="6" borderId="0" xfId="0" applyNumberFormat="1" applyFont="1" applyFill="1" applyBorder="1" applyAlignment="1">
      <alignment horizontal="center" vertical="top"/>
    </xf>
    <xf numFmtId="0" fontId="55" fillId="6" borderId="24" xfId="0" applyFont="1" applyFill="1" applyBorder="1" applyAlignment="1">
      <alignment horizontal="center" vertical="top" wrapText="1"/>
    </xf>
    <xf numFmtId="0" fontId="197" fillId="0" borderId="151" xfId="0" applyFont="1" applyFill="1" applyBorder="1" applyAlignment="1"/>
    <xf numFmtId="2" fontId="127" fillId="0" borderId="151" xfId="0" applyNumberFormat="1" applyFont="1" applyFill="1" applyBorder="1" applyAlignment="1">
      <alignment horizontal="center" vertical="center"/>
    </xf>
    <xf numFmtId="9" fontId="306" fillId="0" borderId="151" xfId="67" applyFont="1" applyFill="1" applyBorder="1" applyAlignment="1">
      <alignment horizontal="center" vertical="center"/>
    </xf>
    <xf numFmtId="9" fontId="307" fillId="0" borderId="151" xfId="67" applyFont="1" applyFill="1" applyBorder="1" applyAlignment="1">
      <alignment horizontal="center" vertical="center"/>
    </xf>
    <xf numFmtId="2" fontId="127" fillId="0" borderId="151" xfId="67" applyNumberFormat="1" applyFont="1" applyFill="1" applyBorder="1" applyAlignment="1">
      <alignment horizontal="center" vertical="center"/>
    </xf>
    <xf numFmtId="9" fontId="70" fillId="6" borderId="19" xfId="0" applyNumberFormat="1" applyFont="1" applyFill="1" applyBorder="1" applyAlignment="1">
      <alignment horizontal="center" vertical="center"/>
    </xf>
    <xf numFmtId="0" fontId="0" fillId="6" borderId="52" xfId="0" applyFill="1" applyBorder="1"/>
    <xf numFmtId="0" fontId="52" fillId="39" borderId="16" xfId="50" applyFont="1" applyFill="1" applyBorder="1" applyAlignment="1">
      <alignment vertical="center"/>
    </xf>
    <xf numFmtId="0" fontId="52" fillId="39" borderId="15" xfId="50" applyFont="1" applyFill="1" applyBorder="1" applyAlignment="1">
      <alignment vertical="center"/>
    </xf>
    <xf numFmtId="0" fontId="303" fillId="39" borderId="16" xfId="0" applyFont="1" applyFill="1" applyBorder="1" applyAlignment="1">
      <alignment horizontal="left" vertical="center" wrapText="1"/>
    </xf>
    <xf numFmtId="0" fontId="303" fillId="39" borderId="24" xfId="0" applyFont="1" applyFill="1" applyBorder="1" applyAlignment="1">
      <alignment horizontal="left" vertical="center" wrapText="1"/>
    </xf>
    <xf numFmtId="0" fontId="303" fillId="39" borderId="24" xfId="0" applyFont="1" applyFill="1" applyBorder="1" applyAlignment="1">
      <alignment vertical="center" wrapText="1"/>
    </xf>
    <xf numFmtId="0" fontId="0" fillId="39" borderId="24" xfId="0" applyFill="1" applyBorder="1"/>
    <xf numFmtId="0" fontId="0" fillId="39" borderId="20" xfId="0" applyFill="1" applyBorder="1"/>
    <xf numFmtId="0" fontId="0" fillId="39" borderId="74" xfId="0" applyFill="1" applyBorder="1"/>
    <xf numFmtId="0" fontId="229" fillId="39" borderId="18" xfId="0" applyFont="1" applyFill="1" applyBorder="1" applyAlignment="1">
      <alignment horizontal="right" vertical="center" wrapText="1"/>
    </xf>
    <xf numFmtId="0" fontId="0" fillId="39" borderId="0" xfId="0" applyFill="1"/>
    <xf numFmtId="0" fontId="217" fillId="2" borderId="0" xfId="0" applyFont="1" applyFill="1" applyBorder="1" applyAlignment="1"/>
    <xf numFmtId="0" fontId="217" fillId="0" borderId="0" xfId="0" applyFont="1" applyFill="1" applyBorder="1" applyAlignment="1"/>
    <xf numFmtId="6" fontId="346" fillId="11" borderId="22" xfId="0" applyNumberFormat="1" applyFont="1" applyFill="1" applyBorder="1" applyAlignment="1">
      <alignment horizontal="center" vertical="center"/>
    </xf>
    <xf numFmtId="0" fontId="348" fillId="0" borderId="0" xfId="0" applyFont="1" applyAlignment="1">
      <alignment horizontal="center" vertical="center"/>
    </xf>
    <xf numFmtId="0" fontId="350" fillId="0" borderId="0" xfId="0" applyFont="1" applyFill="1" applyBorder="1" applyAlignment="1">
      <alignment horizontal="left" vertical="center"/>
    </xf>
    <xf numFmtId="0" fontId="249" fillId="0" borderId="0" xfId="0" applyFont="1"/>
    <xf numFmtId="166" fontId="134" fillId="6" borderId="140" xfId="0" applyNumberFormat="1" applyFont="1" applyFill="1" applyBorder="1" applyAlignment="1">
      <alignment horizontal="center" vertical="center"/>
    </xf>
    <xf numFmtId="0" fontId="0" fillId="6" borderId="208" xfId="0" applyFill="1" applyBorder="1"/>
    <xf numFmtId="0" fontId="0" fillId="0" borderId="231" xfId="0" applyBorder="1"/>
    <xf numFmtId="0" fontId="235" fillId="8" borderId="201" xfId="0" applyFont="1" applyFill="1" applyBorder="1" applyAlignment="1">
      <alignment horizontal="center" vertical="center"/>
    </xf>
    <xf numFmtId="10" fontId="83" fillId="8" borderId="22" xfId="0" applyNumberFormat="1" applyFont="1" applyFill="1" applyBorder="1" applyAlignment="1">
      <alignment horizontal="center" vertical="center"/>
    </xf>
    <xf numFmtId="0" fontId="0" fillId="44" borderId="24" xfId="0" applyFill="1" applyBorder="1"/>
    <xf numFmtId="0" fontId="0" fillId="44" borderId="18" xfId="0" applyFill="1" applyBorder="1"/>
    <xf numFmtId="0" fontId="0" fillId="44" borderId="20" xfId="0" applyFill="1" applyBorder="1"/>
    <xf numFmtId="0" fontId="78" fillId="43" borderId="23" xfId="0" applyFont="1" applyFill="1" applyBorder="1" applyAlignment="1">
      <alignment horizontal="center" vertical="top"/>
    </xf>
    <xf numFmtId="0" fontId="0" fillId="43" borderId="24" xfId="0" applyFill="1" applyBorder="1"/>
    <xf numFmtId="10" fontId="84" fillId="8" borderId="22" xfId="0" applyNumberFormat="1" applyFont="1" applyFill="1" applyBorder="1" applyAlignment="1">
      <alignment horizontal="center" vertical="center"/>
    </xf>
    <xf numFmtId="9" fontId="258" fillId="8" borderId="316" xfId="50" applyNumberFormat="1" applyFont="1" applyFill="1" applyBorder="1" applyAlignment="1">
      <alignment horizontal="center" vertical="center"/>
    </xf>
    <xf numFmtId="9" fontId="58" fillId="8" borderId="316" xfId="50" applyNumberFormat="1" applyFont="1" applyFill="1" applyBorder="1" applyAlignment="1">
      <alignment horizontal="center" vertical="center"/>
    </xf>
    <xf numFmtId="0" fontId="87" fillId="47" borderId="22" xfId="0" applyFont="1" applyFill="1" applyBorder="1" applyAlignment="1">
      <alignment horizontal="center" vertical="center"/>
    </xf>
    <xf numFmtId="0" fontId="138" fillId="8" borderId="27" xfId="50" applyFont="1" applyFill="1" applyBorder="1" applyAlignment="1">
      <alignment horizontal="right" vertical="center"/>
    </xf>
    <xf numFmtId="6" fontId="346" fillId="11" borderId="195" xfId="0" applyNumberFormat="1" applyFont="1" applyFill="1" applyBorder="1" applyAlignment="1">
      <alignment horizontal="center" vertical="center"/>
    </xf>
    <xf numFmtId="0" fontId="339" fillId="8" borderId="236" xfId="0" applyFont="1" applyFill="1" applyBorder="1" applyAlignment="1">
      <alignment horizontal="center" vertical="center" wrapText="1"/>
    </xf>
    <xf numFmtId="6" fontId="346" fillId="11" borderId="196" xfId="0" applyNumberFormat="1" applyFont="1" applyFill="1" applyBorder="1" applyAlignment="1">
      <alignment horizontal="center" vertical="center"/>
    </xf>
    <xf numFmtId="0" fontId="346" fillId="11" borderId="319" xfId="0" applyFont="1" applyFill="1" applyBorder="1" applyAlignment="1">
      <alignment horizontal="center" vertical="center"/>
    </xf>
    <xf numFmtId="0" fontId="346" fillId="11" borderId="320" xfId="0" applyFont="1" applyFill="1" applyBorder="1" applyAlignment="1">
      <alignment horizontal="center" vertical="center"/>
    </xf>
    <xf numFmtId="0" fontId="346" fillId="11" borderId="321" xfId="0" applyFont="1" applyFill="1" applyBorder="1" applyAlignment="1">
      <alignment horizontal="center" vertical="center"/>
    </xf>
    <xf numFmtId="0" fontId="346" fillId="11" borderId="322" xfId="0" applyFont="1" applyFill="1" applyBorder="1" applyAlignment="1">
      <alignment horizontal="center" vertical="center"/>
    </xf>
    <xf numFmtId="0" fontId="346" fillId="11" borderId="323" xfId="0" applyFont="1" applyFill="1" applyBorder="1" applyAlignment="1">
      <alignment horizontal="center" vertical="center"/>
    </xf>
    <xf numFmtId="0" fontId="0" fillId="0" borderId="0" xfId="0" applyAlignment="1">
      <alignment vertical="top"/>
    </xf>
    <xf numFmtId="0" fontId="352" fillId="8" borderId="27" xfId="0" applyFont="1" applyFill="1" applyBorder="1" applyAlignment="1">
      <alignment horizontal="center" vertical="center"/>
    </xf>
    <xf numFmtId="168" fontId="151" fillId="8" borderId="22" xfId="0" applyNumberFormat="1" applyFont="1" applyFill="1" applyBorder="1" applyAlignment="1">
      <alignment horizontal="center" vertical="center" wrapText="1"/>
    </xf>
    <xf numFmtId="0" fontId="55" fillId="6" borderId="0" xfId="0" applyFont="1" applyFill="1" applyAlignment="1">
      <alignment vertical="center"/>
    </xf>
    <xf numFmtId="0" fontId="353" fillId="8" borderId="53" xfId="0" applyFont="1" applyFill="1" applyBorder="1" applyAlignment="1">
      <alignment horizontal="center" vertical="center" wrapText="1"/>
    </xf>
    <xf numFmtId="0" fontId="55" fillId="6" borderId="16" xfId="0" applyFont="1" applyFill="1" applyBorder="1" applyAlignment="1">
      <alignment vertical="center"/>
    </xf>
    <xf numFmtId="0" fontId="250" fillId="2" borderId="23" xfId="0" applyFont="1" applyFill="1" applyBorder="1" applyAlignment="1">
      <alignment horizontal="center" vertical="center" wrapText="1"/>
    </xf>
    <xf numFmtId="166" fontId="186" fillId="8" borderId="17" xfId="0" applyNumberFormat="1" applyFont="1" applyFill="1" applyBorder="1" applyAlignment="1">
      <alignment horizontal="center" vertical="center"/>
    </xf>
    <xf numFmtId="0" fontId="83" fillId="0" borderId="0" xfId="0" applyFont="1" applyAlignment="1"/>
    <xf numFmtId="0" fontId="84" fillId="0" borderId="0" xfId="0" applyFont="1" applyFill="1" applyBorder="1" applyAlignment="1">
      <alignment horizontal="left" vertical="center"/>
    </xf>
    <xf numFmtId="0" fontId="13" fillId="0" borderId="0" xfId="80"/>
    <xf numFmtId="0" fontId="354" fillId="0" borderId="0" xfId="80" applyFont="1"/>
    <xf numFmtId="0" fontId="355" fillId="0" borderId="0" xfId="80" applyFont="1"/>
    <xf numFmtId="0" fontId="356" fillId="0" borderId="0" xfId="80" applyFont="1"/>
    <xf numFmtId="0" fontId="357" fillId="0" borderId="0" xfId="80" applyFont="1"/>
    <xf numFmtId="0" fontId="13" fillId="0" borderId="0" xfId="80" applyAlignment="1">
      <alignment horizontal="center" vertical="center"/>
    </xf>
    <xf numFmtId="10" fontId="358" fillId="8" borderId="22" xfId="80" applyNumberFormat="1" applyFont="1" applyFill="1" applyBorder="1" applyAlignment="1">
      <alignment horizontal="center" vertical="center"/>
    </xf>
    <xf numFmtId="0" fontId="13" fillId="0" borderId="25" xfId="80" applyBorder="1" applyAlignment="1">
      <alignment horizontal="center" vertical="center"/>
    </xf>
    <xf numFmtId="0" fontId="13" fillId="0" borderId="22" xfId="80" applyBorder="1" applyAlignment="1">
      <alignment horizontal="center" vertical="center"/>
    </xf>
    <xf numFmtId="0" fontId="356" fillId="0" borderId="22" xfId="80" applyFont="1" applyBorder="1" applyAlignment="1">
      <alignment horizontal="center" vertical="center" wrapText="1"/>
    </xf>
    <xf numFmtId="0" fontId="356" fillId="0" borderId="17" xfId="80" applyFont="1" applyBorder="1" applyAlignment="1">
      <alignment horizontal="center" vertical="center" wrapText="1"/>
    </xf>
    <xf numFmtId="179" fontId="358" fillId="0" borderId="0" xfId="80" applyNumberFormat="1" applyFont="1" applyAlignment="1">
      <alignment horizontal="center" vertical="center"/>
    </xf>
    <xf numFmtId="179" fontId="359" fillId="0" borderId="0" xfId="80" applyNumberFormat="1" applyFont="1" applyAlignment="1">
      <alignment horizontal="center" vertical="center"/>
    </xf>
    <xf numFmtId="166" fontId="359" fillId="0" borderId="0" xfId="80" applyNumberFormat="1" applyFont="1" applyAlignment="1">
      <alignment horizontal="center" vertical="center"/>
    </xf>
    <xf numFmtId="10" fontId="359" fillId="0" borderId="0" xfId="80" applyNumberFormat="1" applyFont="1" applyAlignment="1">
      <alignment horizontal="center" vertical="center"/>
    </xf>
    <xf numFmtId="2" fontId="359" fillId="0" borderId="0" xfId="80" applyNumberFormat="1" applyFont="1" applyAlignment="1">
      <alignment horizontal="center" vertical="center"/>
    </xf>
    <xf numFmtId="14" fontId="359" fillId="0" borderId="0" xfId="80" applyNumberFormat="1" applyFont="1" applyAlignment="1">
      <alignment horizontal="center" vertical="center"/>
    </xf>
    <xf numFmtId="0" fontId="359" fillId="0" borderId="0" xfId="80" applyFont="1" applyAlignment="1">
      <alignment horizontal="center" vertical="center"/>
    </xf>
    <xf numFmtId="0" fontId="356" fillId="0" borderId="0" xfId="80" applyFont="1" applyAlignment="1">
      <alignment horizontal="center" vertical="center" wrapText="1"/>
    </xf>
    <xf numFmtId="179" fontId="358" fillId="2" borderId="19" xfId="80" applyNumberFormat="1" applyFont="1" applyFill="1" applyBorder="1" applyAlignment="1">
      <alignment horizontal="center" vertical="center"/>
    </xf>
    <xf numFmtId="179" fontId="359" fillId="2" borderId="19" xfId="80" applyNumberFormat="1" applyFont="1" applyFill="1" applyBorder="1" applyAlignment="1">
      <alignment horizontal="center" vertical="center"/>
    </xf>
    <xf numFmtId="166" fontId="359" fillId="2" borderId="19" xfId="80" applyNumberFormat="1" applyFont="1" applyFill="1" applyBorder="1" applyAlignment="1">
      <alignment horizontal="center" vertical="center"/>
    </xf>
    <xf numFmtId="0" fontId="13" fillId="0" borderId="0" xfId="80" applyAlignment="1">
      <alignment vertical="center"/>
    </xf>
    <xf numFmtId="0" fontId="15" fillId="0" borderId="0" xfId="80" applyFont="1" applyAlignment="1">
      <alignment vertical="center"/>
    </xf>
    <xf numFmtId="0" fontId="9" fillId="0" borderId="0" xfId="80" applyFont="1" applyAlignment="1">
      <alignment horizontal="center" vertical="center"/>
    </xf>
    <xf numFmtId="10" fontId="0" fillId="0" borderId="0" xfId="67" applyNumberFormat="1" applyFont="1" applyAlignment="1">
      <alignment vertical="center"/>
    </xf>
    <xf numFmtId="0" fontId="9" fillId="0" borderId="0" xfId="80" applyFont="1" applyAlignment="1">
      <alignment vertical="center"/>
    </xf>
    <xf numFmtId="10" fontId="358" fillId="9" borderId="0" xfId="80" applyNumberFormat="1" applyFont="1" applyFill="1" applyAlignment="1">
      <alignment horizontal="center" vertical="center"/>
    </xf>
    <xf numFmtId="10" fontId="358" fillId="0" borderId="0" xfId="80" applyNumberFormat="1" applyFont="1" applyAlignment="1">
      <alignment horizontal="center" vertical="center"/>
    </xf>
    <xf numFmtId="14" fontId="358" fillId="7" borderId="22" xfId="80" applyNumberFormat="1" applyFont="1" applyFill="1" applyBorder="1" applyAlignment="1">
      <alignment horizontal="center" vertical="center"/>
    </xf>
    <xf numFmtId="14" fontId="358" fillId="8" borderId="22" xfId="80" applyNumberFormat="1" applyFont="1" applyFill="1" applyBorder="1" applyAlignment="1">
      <alignment horizontal="center" vertical="center"/>
    </xf>
    <xf numFmtId="166" fontId="358" fillId="8" borderId="22" xfId="80" applyNumberFormat="1" applyFont="1" applyFill="1" applyBorder="1" applyAlignment="1">
      <alignment horizontal="center" vertical="center"/>
    </xf>
    <xf numFmtId="0" fontId="362" fillId="8" borderId="205" xfId="0" applyFont="1" applyFill="1" applyBorder="1" applyAlignment="1">
      <alignment horizontal="center" vertical="center" wrapText="1"/>
    </xf>
    <xf numFmtId="0" fontId="238" fillId="2" borderId="22" xfId="0" applyFont="1" applyFill="1" applyBorder="1" applyAlignment="1">
      <alignment horizontal="center"/>
    </xf>
    <xf numFmtId="44" fontId="83" fillId="0" borderId="0" xfId="61" applyFont="1" applyAlignment="1">
      <alignment vertical="center"/>
    </xf>
    <xf numFmtId="0" fontId="83" fillId="0" borderId="0" xfId="0" applyFont="1" applyAlignment="1">
      <alignment horizontal="center" vertical="center"/>
    </xf>
    <xf numFmtId="0" fontId="83" fillId="0" borderId="0" xfId="0" applyFont="1" applyAlignment="1">
      <alignment vertical="center"/>
    </xf>
    <xf numFmtId="0" fontId="83" fillId="0" borderId="0" xfId="0" applyFont="1" applyBorder="1" applyAlignment="1">
      <alignment horizontal="center" vertical="center"/>
    </xf>
    <xf numFmtId="0" fontId="185" fillId="0" borderId="0" xfId="0" applyFont="1" applyBorder="1" applyAlignment="1">
      <alignment horizontal="center" vertical="center"/>
    </xf>
    <xf numFmtId="44" fontId="83" fillId="0" borderId="0" xfId="61" applyFont="1" applyAlignment="1"/>
    <xf numFmtId="9" fontId="83" fillId="0" borderId="0" xfId="0" applyNumberFormat="1" applyFont="1" applyAlignment="1">
      <alignment horizontal="left"/>
    </xf>
    <xf numFmtId="166" fontId="185" fillId="0" borderId="0" xfId="0" applyNumberFormat="1" applyFont="1" applyAlignment="1">
      <alignment horizontal="right" vertical="center"/>
    </xf>
    <xf numFmtId="9" fontId="185" fillId="0" borderId="0" xfId="0" applyNumberFormat="1" applyFont="1" applyAlignment="1">
      <alignment horizontal="left" vertical="center"/>
    </xf>
    <xf numFmtId="0" fontId="365" fillId="0" borderId="0" xfId="0" applyFont="1" applyAlignment="1">
      <alignment vertical="center"/>
    </xf>
    <xf numFmtId="0" fontId="366" fillId="0" borderId="0" xfId="0" applyFont="1" applyAlignment="1">
      <alignment vertical="center"/>
    </xf>
    <xf numFmtId="44" fontId="366" fillId="2" borderId="0" xfId="61" applyFont="1" applyFill="1" applyAlignment="1">
      <alignment vertical="center"/>
    </xf>
    <xf numFmtId="44" fontId="366" fillId="0" borderId="0" xfId="61" applyFont="1" applyFill="1" applyAlignment="1">
      <alignment vertical="center"/>
    </xf>
    <xf numFmtId="0" fontId="367" fillId="0" borderId="0" xfId="0" applyFont="1" applyAlignment="1">
      <alignment vertical="center"/>
    </xf>
    <xf numFmtId="0" fontId="209" fillId="0" borderId="0" xfId="0" applyFont="1" applyAlignment="1">
      <alignment horizontal="right" vertical="center"/>
    </xf>
    <xf numFmtId="44" fontId="368" fillId="0" borderId="0" xfId="61" applyFont="1" applyAlignment="1">
      <alignment vertical="center"/>
    </xf>
    <xf numFmtId="0" fontId="84" fillId="0" borderId="0" xfId="0" applyFont="1" applyAlignment="1">
      <alignment horizontal="center" vertical="center"/>
    </xf>
    <xf numFmtId="0" fontId="84" fillId="0" borderId="0" xfId="0" applyFont="1" applyAlignment="1">
      <alignment vertical="center"/>
    </xf>
    <xf numFmtId="0" fontId="366" fillId="0" borderId="0" xfId="0" applyFont="1" applyFill="1" applyBorder="1" applyAlignment="1">
      <alignment vertical="center"/>
    </xf>
    <xf numFmtId="10" fontId="369" fillId="0" borderId="0" xfId="0" applyNumberFormat="1" applyFont="1" applyFill="1" applyBorder="1" applyAlignment="1">
      <alignment horizontal="right" vertical="center"/>
    </xf>
    <xf numFmtId="164" fontId="369" fillId="0" borderId="0" xfId="61" applyNumberFormat="1" applyFont="1" applyFill="1" applyBorder="1" applyAlignment="1">
      <alignment horizontal="right" vertical="center"/>
    </xf>
    <xf numFmtId="0" fontId="370" fillId="0" borderId="0" xfId="0" applyFont="1" applyAlignment="1">
      <alignment horizontal="right" vertical="center"/>
    </xf>
    <xf numFmtId="0" fontId="371" fillId="0" borderId="0" xfId="0" applyFont="1" applyAlignment="1">
      <alignment horizontal="right" vertical="center"/>
    </xf>
    <xf numFmtId="164" fontId="372" fillId="0" borderId="0" xfId="61" applyNumberFormat="1" applyFont="1" applyAlignment="1">
      <alignment horizontal="right" vertical="center"/>
    </xf>
    <xf numFmtId="0" fontId="363" fillId="0" borderId="0" xfId="0" applyFont="1" applyAlignment="1">
      <alignment horizontal="center" vertical="center" wrapText="1"/>
    </xf>
    <xf numFmtId="0" fontId="373" fillId="0" borderId="0" xfId="0" applyFont="1" applyAlignment="1">
      <alignment vertical="center"/>
    </xf>
    <xf numFmtId="164" fontId="83" fillId="0" borderId="0" xfId="0" applyNumberFormat="1" applyFont="1"/>
    <xf numFmtId="0" fontId="55" fillId="0" borderId="0" xfId="0" quotePrefix="1" applyNumberFormat="1" applyFont="1" applyAlignment="1">
      <alignment horizontal="right" vertical="center"/>
    </xf>
    <xf numFmtId="0" fontId="155" fillId="0" borderId="0" xfId="0" applyFont="1" applyAlignment="1">
      <alignment horizontal="left" vertical="top"/>
    </xf>
    <xf numFmtId="0" fontId="15" fillId="8" borderId="266" xfId="0" applyFont="1" applyFill="1" applyBorder="1" applyAlignment="1">
      <alignment horizontal="center" vertical="center"/>
    </xf>
    <xf numFmtId="0" fontId="133" fillId="6" borderId="120" xfId="50" applyFont="1" applyFill="1" applyBorder="1" applyAlignment="1">
      <alignment horizontal="center" vertical="center" wrapText="1"/>
    </xf>
    <xf numFmtId="0" fontId="84" fillId="0" borderId="0" xfId="50" applyFont="1" applyAlignment="1">
      <alignment horizontal="right" vertical="center"/>
    </xf>
    <xf numFmtId="0" fontId="8" fillId="6" borderId="0" xfId="0" applyFont="1" applyFill="1" applyAlignment="1">
      <alignment horizontal="right" vertical="center" wrapText="1"/>
    </xf>
    <xf numFmtId="0" fontId="289" fillId="2" borderId="16" xfId="0" applyFont="1" applyFill="1" applyBorder="1" applyAlignment="1">
      <alignment horizontal="center" wrapText="1"/>
    </xf>
    <xf numFmtId="0" fontId="187" fillId="6" borderId="187" xfId="0" applyFont="1" applyFill="1" applyBorder="1" applyAlignment="1">
      <alignment horizontal="center" vertical="center" textRotation="90"/>
    </xf>
    <xf numFmtId="166" fontId="185" fillId="6" borderId="0" xfId="0" applyNumberFormat="1" applyFont="1" applyFill="1" applyBorder="1" applyAlignment="1">
      <alignment horizontal="center" vertical="center"/>
    </xf>
    <xf numFmtId="166" fontId="155" fillId="6" borderId="24" xfId="0" applyNumberFormat="1" applyFont="1" applyFill="1" applyBorder="1" applyAlignment="1">
      <alignment horizontal="center" vertical="center"/>
    </xf>
    <xf numFmtId="166" fontId="152" fillId="2" borderId="171" xfId="0" applyNumberFormat="1" applyFont="1" applyFill="1" applyBorder="1" applyAlignment="1">
      <alignment horizontal="center" vertical="center"/>
    </xf>
    <xf numFmtId="166" fontId="155" fillId="6" borderId="30" xfId="0" applyNumberFormat="1" applyFont="1" applyFill="1" applyBorder="1" applyAlignment="1">
      <alignment horizontal="center" vertical="center"/>
    </xf>
    <xf numFmtId="0" fontId="290" fillId="6" borderId="128" xfId="50" applyFont="1" applyFill="1" applyBorder="1" applyAlignment="1">
      <alignment horizontal="center" vertical="center"/>
    </xf>
    <xf numFmtId="0" fontId="290" fillId="6" borderId="48" xfId="50" applyFont="1" applyFill="1" applyBorder="1" applyAlignment="1">
      <alignment horizontal="center" vertical="center"/>
    </xf>
    <xf numFmtId="0" fontId="290" fillId="6" borderId="51" xfId="50" applyFont="1" applyFill="1" applyBorder="1" applyAlignment="1">
      <alignment horizontal="center" vertical="center"/>
    </xf>
    <xf numFmtId="0" fontId="0" fillId="43" borderId="207" xfId="0" applyFill="1" applyBorder="1"/>
    <xf numFmtId="0" fontId="0" fillId="43" borderId="208" xfId="0" applyFill="1" applyBorder="1"/>
    <xf numFmtId="0" fontId="78" fillId="44" borderId="23" xfId="0" applyFont="1" applyFill="1" applyBorder="1" applyAlignment="1">
      <alignment horizontal="center" vertical="top"/>
    </xf>
    <xf numFmtId="0" fontId="123" fillId="6" borderId="327" xfId="0" applyFont="1" applyFill="1" applyBorder="1" applyAlignment="1">
      <alignment horizontal="center" vertical="center" wrapText="1"/>
    </xf>
    <xf numFmtId="9" fontId="83" fillId="8" borderId="235" xfId="67" applyFont="1" applyFill="1" applyBorder="1" applyAlignment="1">
      <alignment horizontal="center" vertical="center"/>
    </xf>
    <xf numFmtId="0" fontId="235" fillId="8" borderId="246" xfId="0" applyFont="1" applyFill="1" applyBorder="1" applyAlignment="1">
      <alignment horizontal="center" vertical="center"/>
    </xf>
    <xf numFmtId="0" fontId="134" fillId="0" borderId="0" xfId="0" applyFont="1" applyAlignment="1">
      <alignment horizontal="left"/>
    </xf>
    <xf numFmtId="0" fontId="155" fillId="0" borderId="0" xfId="0" applyFont="1" applyAlignment="1">
      <alignment horizontal="left"/>
    </xf>
    <xf numFmtId="0" fontId="124" fillId="0" borderId="0" xfId="0" applyFont="1" applyAlignment="1">
      <alignment horizontal="center" vertical="center" wrapText="1"/>
    </xf>
    <xf numFmtId="176" fontId="363" fillId="0" borderId="0" xfId="0" applyNumberFormat="1" applyFont="1" applyBorder="1" applyAlignment="1">
      <alignment horizontal="left" vertical="center"/>
    </xf>
    <xf numFmtId="0" fontId="185" fillId="0" borderId="0" xfId="0" applyFont="1" applyBorder="1" applyAlignment="1">
      <alignment horizontal="right" vertical="center" wrapText="1"/>
    </xf>
    <xf numFmtId="0" fontId="84" fillId="0" borderId="0" xfId="0" applyFont="1" applyBorder="1" applyAlignment="1">
      <alignment horizontal="center" vertical="center"/>
    </xf>
    <xf numFmtId="9" fontId="70" fillId="0" borderId="144" xfId="0" applyNumberFormat="1" applyFont="1" applyFill="1" applyBorder="1" applyAlignment="1">
      <alignment horizontal="center" vertical="center" wrapText="1"/>
    </xf>
    <xf numFmtId="166" fontId="70" fillId="0" borderId="157" xfId="0" applyNumberFormat="1" applyFont="1" applyBorder="1" applyAlignment="1">
      <alignment horizontal="center" vertical="center"/>
    </xf>
    <xf numFmtId="0" fontId="123" fillId="6" borderId="0" xfId="0" applyFont="1" applyFill="1" applyBorder="1" applyAlignment="1">
      <alignment horizontal="center" vertical="top" wrapText="1"/>
    </xf>
    <xf numFmtId="0" fontId="77" fillId="6" borderId="19" xfId="50" applyFont="1" applyFill="1" applyBorder="1" applyAlignment="1">
      <alignment vertical="center"/>
    </xf>
    <xf numFmtId="0" fontId="0" fillId="0" borderId="0" xfId="0" applyAlignment="1">
      <alignment vertical="center"/>
    </xf>
    <xf numFmtId="0" fontId="0" fillId="0" borderId="23" xfId="0"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Border="1" applyAlignment="1">
      <alignment horizontal="left" vertical="center"/>
    </xf>
    <xf numFmtId="0" fontId="0" fillId="8" borderId="0" xfId="0" applyFill="1" applyBorder="1" applyAlignment="1">
      <alignment horizontal="center" vertical="center"/>
    </xf>
    <xf numFmtId="0" fontId="31" fillId="8" borderId="155" xfId="0" applyFont="1" applyFill="1" applyBorder="1" applyAlignment="1">
      <alignment horizontal="center" vertical="center"/>
    </xf>
    <xf numFmtId="10" fontId="0" fillId="8" borderId="0" xfId="0" applyNumberFormat="1" applyFill="1" applyBorder="1" applyAlignment="1">
      <alignment vertical="center"/>
    </xf>
    <xf numFmtId="0" fontId="379" fillId="0" borderId="0" xfId="0" applyFont="1" applyAlignment="1">
      <alignment horizontal="center" vertical="center"/>
    </xf>
    <xf numFmtId="3" fontId="379" fillId="0" borderId="0" xfId="0" applyNumberFormat="1" applyFont="1" applyAlignment="1">
      <alignment horizontal="right" vertical="center"/>
    </xf>
    <xf numFmtId="172" fontId="51" fillId="7" borderId="22" xfId="0" applyNumberFormat="1" applyFont="1" applyFill="1" applyBorder="1" applyAlignment="1">
      <alignment horizontal="center" vertical="center"/>
    </xf>
    <xf numFmtId="0" fontId="0" fillId="0" borderId="0" xfId="0" applyBorder="1" applyAlignment="1">
      <alignment horizontal="center" vertical="center"/>
    </xf>
    <xf numFmtId="0" fontId="148" fillId="0" borderId="0" xfId="0" applyFont="1" applyBorder="1" applyAlignment="1">
      <alignment vertical="center"/>
    </xf>
    <xf numFmtId="172" fontId="51" fillId="7" borderId="16" xfId="0" applyNumberFormat="1" applyFont="1" applyFill="1" applyBorder="1" applyAlignment="1">
      <alignment horizontal="center" vertical="center"/>
    </xf>
    <xf numFmtId="0" fontId="208" fillId="42" borderId="0" xfId="0" applyFont="1" applyFill="1" applyBorder="1" applyAlignment="1">
      <alignment horizontal="right" vertical="center"/>
    </xf>
    <xf numFmtId="0" fontId="70" fillId="8" borderId="0" xfId="0" applyFont="1" applyFill="1" applyBorder="1" applyAlignment="1">
      <alignment horizontal="center" vertical="center"/>
    </xf>
    <xf numFmtId="0" fontId="380" fillId="0" borderId="0" xfId="0" applyFont="1" applyAlignment="1">
      <alignment horizontal="center" vertical="center"/>
    </xf>
    <xf numFmtId="3" fontId="379" fillId="0" borderId="0" xfId="0" applyNumberFormat="1" applyFont="1" applyAlignment="1">
      <alignment horizontal="center" vertical="center"/>
    </xf>
    <xf numFmtId="3" fontId="379" fillId="0" borderId="0" xfId="0" applyNumberFormat="1" applyFont="1" applyAlignment="1">
      <alignment vertical="center"/>
    </xf>
    <xf numFmtId="0" fontId="381" fillId="0" borderId="0" xfId="0" applyFont="1" applyAlignment="1">
      <alignment horizontal="center" vertical="center"/>
    </xf>
    <xf numFmtId="3" fontId="381" fillId="0" borderId="0" xfId="0" applyNumberFormat="1" applyFont="1" applyAlignment="1">
      <alignment horizontal="right" vertical="center"/>
    </xf>
    <xf numFmtId="3" fontId="381" fillId="0" borderId="0" xfId="0" applyNumberFormat="1" applyFont="1"/>
    <xf numFmtId="3" fontId="381" fillId="0" borderId="0" xfId="0" applyNumberFormat="1" applyFont="1" applyAlignment="1">
      <alignment vertical="center"/>
    </xf>
    <xf numFmtId="0" fontId="148" fillId="0" borderId="0" xfId="0" applyFont="1" applyBorder="1" applyAlignment="1">
      <alignment horizontal="center" vertical="center"/>
    </xf>
    <xf numFmtId="172" fontId="51" fillId="7" borderId="17" xfId="0" applyNumberFormat="1" applyFont="1" applyFill="1" applyBorder="1" applyAlignment="1">
      <alignment horizontal="center" vertical="center"/>
    </xf>
    <xf numFmtId="0" fontId="383" fillId="6" borderId="25" xfId="0" applyFont="1" applyFill="1" applyBorder="1" applyAlignment="1">
      <alignment horizontal="center"/>
    </xf>
    <xf numFmtId="168" fontId="152" fillId="2" borderId="265" xfId="0" applyNumberFormat="1" applyFont="1" applyFill="1" applyBorder="1" applyAlignment="1">
      <alignment horizontal="center" vertical="center"/>
    </xf>
    <xf numFmtId="3" fontId="0" fillId="0" borderId="0" xfId="0" applyNumberFormat="1" applyBorder="1" applyAlignment="1">
      <alignment horizontal="right" vertical="center"/>
    </xf>
    <xf numFmtId="3" fontId="0" fillId="0" borderId="0" xfId="0" applyNumberFormat="1" applyBorder="1" applyAlignment="1">
      <alignment vertical="center"/>
    </xf>
    <xf numFmtId="173" fontId="35" fillId="0" borderId="0" xfId="0" applyNumberFormat="1" applyFont="1" applyBorder="1" applyAlignment="1">
      <alignment vertical="center"/>
    </xf>
    <xf numFmtId="0" fontId="0" fillId="0" borderId="154" xfId="0" applyBorder="1"/>
    <xf numFmtId="0" fontId="0" fillId="0" borderId="24" xfId="0" applyFill="1" applyBorder="1"/>
    <xf numFmtId="0" fontId="78" fillId="0" borderId="23" xfId="0" applyFont="1" applyFill="1" applyBorder="1" applyAlignment="1">
      <alignment horizontal="center" vertical="top"/>
    </xf>
    <xf numFmtId="0" fontId="0" fillId="0" borderId="22" xfId="0" applyFill="1" applyBorder="1"/>
    <xf numFmtId="0" fontId="123" fillId="0" borderId="22" xfId="0" applyFont="1" applyFill="1" applyBorder="1" applyAlignment="1">
      <alignment horizontal="center" vertical="center" wrapText="1"/>
    </xf>
    <xf numFmtId="0" fontId="0" fillId="0" borderId="21" xfId="0" applyFill="1" applyBorder="1" applyAlignment="1"/>
    <xf numFmtId="0" fontId="0" fillId="0" borderId="21" xfId="0" applyFill="1" applyBorder="1" applyAlignment="1">
      <alignment horizontal="center"/>
    </xf>
    <xf numFmtId="167" fontId="232" fillId="6" borderId="161" xfId="0" applyNumberFormat="1" applyFont="1" applyFill="1" applyBorder="1" applyAlignment="1">
      <alignment horizontal="center" vertical="center"/>
    </xf>
    <xf numFmtId="166" fontId="232" fillId="6" borderId="48" xfId="0" applyNumberFormat="1" applyFont="1" applyFill="1" applyBorder="1" applyAlignment="1">
      <alignment horizontal="center" vertical="center"/>
    </xf>
    <xf numFmtId="0" fontId="155" fillId="0" borderId="329" xfId="0" applyFont="1" applyBorder="1" applyAlignment="1">
      <alignment horizontal="center" vertical="center" wrapText="1"/>
    </xf>
    <xf numFmtId="0" fontId="208" fillId="18" borderId="330" xfId="0" applyFont="1" applyFill="1" applyBorder="1" applyAlignment="1">
      <alignment horizontal="center" vertical="center" wrapText="1"/>
    </xf>
    <xf numFmtId="167" fontId="232" fillId="6" borderId="46" xfId="0" applyNumberFormat="1" applyFont="1" applyFill="1" applyBorder="1" applyAlignment="1">
      <alignment horizontal="center" vertical="center"/>
    </xf>
    <xf numFmtId="0" fontId="185" fillId="0" borderId="232" xfId="0" applyFont="1" applyBorder="1" applyAlignment="1">
      <alignment horizontal="center" vertical="center" wrapText="1"/>
    </xf>
    <xf numFmtId="0" fontId="83" fillId="6" borderId="254" xfId="0" applyFont="1" applyFill="1" applyBorder="1"/>
    <xf numFmtId="0" fontId="84" fillId="9" borderId="4" xfId="0" applyFont="1" applyFill="1" applyBorder="1" applyAlignment="1">
      <alignment horizontal="center" vertical="center" wrapText="1"/>
    </xf>
    <xf numFmtId="0" fontId="334" fillId="8" borderId="329" xfId="0" applyFont="1" applyFill="1" applyBorder="1" applyAlignment="1">
      <alignment horizontal="center" vertical="center"/>
    </xf>
    <xf numFmtId="0" fontId="334" fillId="8" borderId="330" xfId="0" applyFont="1" applyFill="1" applyBorder="1" applyAlignment="1">
      <alignment horizontal="center" vertical="center"/>
    </xf>
    <xf numFmtId="0" fontId="334" fillId="8" borderId="22" xfId="0" applyFont="1" applyFill="1" applyBorder="1" applyAlignment="1">
      <alignment horizontal="center" vertical="center"/>
    </xf>
    <xf numFmtId="0" fontId="334" fillId="8" borderId="22" xfId="0" quotePrefix="1" applyFont="1" applyFill="1" applyBorder="1" applyAlignment="1">
      <alignment horizontal="center" vertical="center"/>
    </xf>
    <xf numFmtId="0" fontId="334" fillId="8" borderId="71" xfId="0" applyFont="1" applyFill="1" applyBorder="1" applyAlignment="1">
      <alignment horizontal="center" vertical="center"/>
    </xf>
    <xf numFmtId="0" fontId="83" fillId="6" borderId="140" xfId="0" applyFont="1" applyFill="1" applyBorder="1"/>
    <xf numFmtId="0" fontId="83" fillId="6" borderId="24" xfId="0" applyFont="1" applyFill="1" applyBorder="1"/>
    <xf numFmtId="0" fontId="185" fillId="0" borderId="171" xfId="0" applyFont="1" applyBorder="1" applyAlignment="1">
      <alignment horizontal="center" vertical="center" wrapText="1"/>
    </xf>
    <xf numFmtId="166" fontId="186" fillId="8" borderId="158" xfId="0" applyNumberFormat="1" applyFont="1" applyFill="1" applyBorder="1" applyAlignment="1">
      <alignment horizontal="center" vertical="center"/>
    </xf>
    <xf numFmtId="166" fontId="384" fillId="6" borderId="8" xfId="0" applyNumberFormat="1" applyFont="1" applyFill="1" applyBorder="1" applyAlignment="1">
      <alignment horizontal="center" vertical="center"/>
    </xf>
    <xf numFmtId="0" fontId="259" fillId="18" borderId="333" xfId="0" applyFont="1" applyFill="1" applyBorder="1" applyAlignment="1">
      <alignment horizontal="center" vertical="center"/>
    </xf>
    <xf numFmtId="0" fontId="155" fillId="6" borderId="24" xfId="0" applyFont="1" applyFill="1" applyBorder="1" applyAlignment="1">
      <alignment horizontal="center" vertical="center" wrapText="1"/>
    </xf>
    <xf numFmtId="0" fontId="267" fillId="8" borderId="121" xfId="0" applyNumberFormat="1" applyFont="1" applyFill="1" applyBorder="1" applyAlignment="1">
      <alignment horizontal="left" vertical="center"/>
    </xf>
    <xf numFmtId="166" fontId="110" fillId="11" borderId="97" xfId="50" applyNumberFormat="1" applyFont="1" applyFill="1" applyBorder="1" applyAlignment="1">
      <alignment horizontal="center" vertical="center"/>
    </xf>
    <xf numFmtId="0" fontId="385" fillId="18" borderId="334" xfId="50" applyFont="1" applyFill="1" applyBorder="1" applyAlignment="1">
      <alignment horizontal="center" vertical="center" wrapText="1"/>
    </xf>
    <xf numFmtId="0" fontId="257" fillId="18" borderId="335" xfId="0" applyFont="1" applyFill="1" applyBorder="1" applyAlignment="1">
      <alignment horizontal="center" vertical="center"/>
    </xf>
    <xf numFmtId="0" fontId="385" fillId="18" borderId="336" xfId="50" applyFont="1" applyFill="1" applyBorder="1" applyAlignment="1">
      <alignment horizontal="center" vertical="center"/>
    </xf>
    <xf numFmtId="0" fontId="267" fillId="12" borderId="19" xfId="0" applyNumberFormat="1" applyFont="1" applyFill="1" applyBorder="1" applyAlignment="1">
      <alignment horizontal="left" vertical="center"/>
    </xf>
    <xf numFmtId="164" fontId="64" fillId="12" borderId="127" xfId="50" applyNumberFormat="1" applyFont="1" applyFill="1" applyBorder="1" applyAlignment="1">
      <alignment horizontal="center" vertical="center"/>
    </xf>
    <xf numFmtId="164" fontId="64" fillId="12" borderId="130" xfId="50" applyNumberFormat="1" applyFont="1" applyFill="1" applyBorder="1" applyAlignment="1">
      <alignment horizontal="center" vertical="center"/>
    </xf>
    <xf numFmtId="164" fontId="64" fillId="12" borderId="135" xfId="50" applyNumberFormat="1" applyFont="1" applyFill="1" applyBorder="1" applyAlignment="1">
      <alignment horizontal="center" vertical="center"/>
    </xf>
    <xf numFmtId="0" fontId="177" fillId="12" borderId="7" xfId="50" applyFont="1" applyFill="1" applyBorder="1" applyAlignment="1">
      <alignment horizontal="center" vertical="center"/>
    </xf>
    <xf numFmtId="0" fontId="177" fillId="12" borderId="8" xfId="50" applyFont="1" applyFill="1" applyBorder="1" applyAlignment="1">
      <alignment horizontal="center" vertical="center"/>
    </xf>
    <xf numFmtId="0" fontId="177" fillId="12" borderId="9" xfId="50" applyFont="1" applyFill="1" applyBorder="1" applyAlignment="1">
      <alignment horizontal="center" vertical="center"/>
    </xf>
    <xf numFmtId="166" fontId="51" fillId="12" borderId="128" xfId="50" applyNumberFormat="1" applyFont="1" applyFill="1" applyBorder="1" applyAlignment="1">
      <alignment horizontal="center" vertical="center"/>
    </xf>
    <xf numFmtId="0" fontId="177" fillId="12" borderId="10" xfId="50" applyFont="1" applyFill="1" applyBorder="1" applyAlignment="1">
      <alignment horizontal="center" vertical="center"/>
    </xf>
    <xf numFmtId="0" fontId="177" fillId="12" borderId="11" xfId="50" applyFont="1" applyFill="1" applyBorder="1" applyAlignment="1">
      <alignment horizontal="center" vertical="center"/>
    </xf>
    <xf numFmtId="0" fontId="177" fillId="12" borderId="122" xfId="50" applyFont="1" applyFill="1" applyBorder="1" applyAlignment="1">
      <alignment horizontal="center" vertical="center"/>
    </xf>
    <xf numFmtId="166" fontId="51" fillId="12" borderId="48" xfId="50" applyNumberFormat="1" applyFont="1" applyFill="1" applyBorder="1" applyAlignment="1">
      <alignment horizontal="center" vertical="center"/>
    </xf>
    <xf numFmtId="0" fontId="177" fillId="12" borderId="137" xfId="50" applyFont="1" applyFill="1" applyBorder="1" applyAlignment="1">
      <alignment horizontal="center" vertical="center"/>
    </xf>
    <xf numFmtId="0" fontId="177" fillId="12" borderId="13" xfId="50" applyFont="1" applyFill="1" applyBorder="1" applyAlignment="1">
      <alignment horizontal="center" vertical="center"/>
    </xf>
    <xf numFmtId="0" fontId="177" fillId="12" borderId="138" xfId="50" applyFont="1" applyFill="1" applyBorder="1" applyAlignment="1">
      <alignment horizontal="center" vertical="center"/>
    </xf>
    <xf numFmtId="166" fontId="51" fillId="12" borderId="52" xfId="50" applyNumberFormat="1" applyFont="1" applyFill="1" applyBorder="1" applyAlignment="1">
      <alignment horizontal="center" vertical="center"/>
    </xf>
    <xf numFmtId="166" fontId="86" fillId="12" borderId="22" xfId="50" applyNumberFormat="1" applyFont="1" applyFill="1" applyBorder="1" applyAlignment="1">
      <alignment horizontal="center" vertical="center"/>
    </xf>
    <xf numFmtId="0" fontId="386" fillId="12" borderId="21" xfId="50" applyFont="1" applyFill="1" applyBorder="1" applyAlignment="1">
      <alignment horizontal="center" vertical="center"/>
    </xf>
    <xf numFmtId="166" fontId="86" fillId="12" borderId="27" xfId="50" applyNumberFormat="1" applyFont="1" applyFill="1" applyBorder="1" applyAlignment="1">
      <alignment horizontal="center" vertical="center"/>
    </xf>
    <xf numFmtId="0" fontId="386" fillId="12" borderId="22" xfId="50" applyFont="1" applyFill="1" applyBorder="1" applyAlignment="1">
      <alignment horizontal="center" vertical="center"/>
    </xf>
    <xf numFmtId="166" fontId="86" fillId="12" borderId="16" xfId="50" applyNumberFormat="1" applyFont="1" applyFill="1" applyBorder="1" applyAlignment="1">
      <alignment horizontal="center" vertical="center"/>
    </xf>
    <xf numFmtId="166" fontId="86" fillId="8" borderId="53" xfId="50" applyNumberFormat="1" applyFont="1" applyFill="1" applyBorder="1" applyAlignment="1">
      <alignment horizontal="center" vertical="center"/>
    </xf>
    <xf numFmtId="0" fontId="386" fillId="12" borderId="16" xfId="50" applyFont="1" applyFill="1" applyBorder="1" applyAlignment="1">
      <alignment horizontal="center" vertical="center"/>
    </xf>
    <xf numFmtId="166" fontId="258" fillId="12" borderId="118" xfId="50" applyNumberFormat="1" applyFont="1" applyFill="1" applyBorder="1" applyAlignment="1">
      <alignment horizontal="center" vertical="center"/>
    </xf>
    <xf numFmtId="164" fontId="259" fillId="6" borderId="19" xfId="50" applyNumberFormat="1" applyFont="1" applyFill="1" applyBorder="1" applyAlignment="1">
      <alignment horizontal="center" vertical="center"/>
    </xf>
    <xf numFmtId="166" fontId="298" fillId="6" borderId="48" xfId="0" applyNumberFormat="1" applyFont="1" applyFill="1" applyBorder="1" applyAlignment="1">
      <alignment horizontal="center" vertical="center"/>
    </xf>
    <xf numFmtId="166" fontId="232" fillId="6" borderId="337" xfId="0" applyNumberFormat="1" applyFont="1" applyFill="1" applyBorder="1" applyAlignment="1">
      <alignment horizontal="center" vertical="center"/>
    </xf>
    <xf numFmtId="0" fontId="155" fillId="6" borderId="139" xfId="0" applyFont="1" applyFill="1" applyBorder="1" applyAlignment="1">
      <alignment horizontal="center" vertical="top"/>
    </xf>
    <xf numFmtId="0" fontId="83" fillId="6" borderId="250" xfId="0" applyFont="1" applyFill="1" applyBorder="1"/>
    <xf numFmtId="0" fontId="83" fillId="6" borderId="29" xfId="0" applyFont="1" applyFill="1" applyBorder="1"/>
    <xf numFmtId="0" fontId="83" fillId="6" borderId="30" xfId="0" applyFont="1" applyFill="1" applyBorder="1"/>
    <xf numFmtId="0" fontId="84" fillId="9" borderId="241" xfId="0" applyFont="1" applyFill="1" applyBorder="1" applyAlignment="1">
      <alignment horizontal="center" vertical="center" wrapText="1"/>
    </xf>
    <xf numFmtId="166" fontId="134" fillId="6" borderId="299" xfId="0" applyNumberFormat="1" applyFont="1" applyFill="1" applyBorder="1" applyAlignment="1">
      <alignment horizontal="center" vertical="center" wrapText="1"/>
    </xf>
    <xf numFmtId="0" fontId="87" fillId="47" borderId="160" xfId="0" applyFont="1" applyFill="1" applyBorder="1" applyAlignment="1">
      <alignment horizontal="center" vertical="center"/>
    </xf>
    <xf numFmtId="10" fontId="83" fillId="8" borderId="160" xfId="0" applyNumberFormat="1" applyFont="1" applyFill="1" applyBorder="1" applyAlignment="1">
      <alignment horizontal="center" vertical="center"/>
    </xf>
    <xf numFmtId="166" fontId="64" fillId="12" borderId="22" xfId="50" applyNumberFormat="1" applyFont="1" applyFill="1" applyBorder="1" applyAlignment="1">
      <alignment vertical="center"/>
    </xf>
    <xf numFmtId="166" fontId="64" fillId="12" borderId="158" xfId="50" applyNumberFormat="1" applyFont="1" applyFill="1" applyBorder="1" applyAlignment="1">
      <alignment vertical="center"/>
    </xf>
    <xf numFmtId="166" fontId="64" fillId="12" borderId="11" xfId="50" applyNumberFormat="1" applyFont="1" applyFill="1" applyBorder="1" applyAlignment="1">
      <alignment vertical="center"/>
    </xf>
    <xf numFmtId="166" fontId="64" fillId="12" borderId="13" xfId="50" applyNumberFormat="1" applyFont="1" applyFill="1" applyBorder="1" applyAlignment="1">
      <alignment vertical="center"/>
    </xf>
    <xf numFmtId="166" fontId="51" fillId="12" borderId="279" xfId="50" applyNumberFormat="1" applyFont="1" applyFill="1" applyBorder="1" applyAlignment="1">
      <alignment horizontal="center" vertical="center"/>
    </xf>
    <xf numFmtId="166" fontId="64" fillId="12" borderId="47" xfId="50" applyNumberFormat="1" applyFont="1" applyFill="1" applyBorder="1" applyAlignment="1">
      <alignment vertical="center"/>
    </xf>
    <xf numFmtId="166" fontId="221" fillId="12" borderId="144" xfId="50" applyNumberFormat="1" applyFont="1" applyFill="1" applyBorder="1" applyAlignment="1">
      <alignment vertical="center"/>
    </xf>
    <xf numFmtId="164" fontId="52" fillId="12" borderId="158" xfId="0" applyNumberFormat="1" applyFont="1" applyFill="1" applyBorder="1" applyAlignment="1">
      <alignment vertical="center"/>
    </xf>
    <xf numFmtId="164" fontId="52" fillId="12" borderId="11" xfId="0" applyNumberFormat="1" applyFont="1" applyFill="1" applyBorder="1" applyAlignment="1">
      <alignment vertical="center"/>
    </xf>
    <xf numFmtId="164" fontId="52" fillId="12" borderId="13" xfId="0" applyNumberFormat="1" applyFont="1" applyFill="1" applyBorder="1" applyAlignment="1">
      <alignment vertical="center"/>
    </xf>
    <xf numFmtId="164" fontId="52" fillId="12" borderId="158" xfId="0" applyNumberFormat="1" applyFont="1" applyFill="1" applyBorder="1"/>
    <xf numFmtId="164" fontId="52" fillId="12" borderId="11" xfId="0" applyNumberFormat="1" applyFont="1" applyFill="1" applyBorder="1"/>
    <xf numFmtId="164" fontId="52" fillId="12" borderId="133" xfId="0" applyNumberFormat="1" applyFont="1" applyFill="1" applyBorder="1"/>
    <xf numFmtId="166" fontId="51" fillId="12" borderId="22" xfId="50" applyNumberFormat="1" applyFont="1" applyFill="1" applyBorder="1" applyAlignment="1">
      <alignment vertical="center"/>
    </xf>
    <xf numFmtId="0" fontId="70" fillId="12" borderId="22" xfId="50" applyFont="1" applyFill="1" applyBorder="1" applyAlignment="1">
      <alignment horizontal="center" vertical="center"/>
    </xf>
    <xf numFmtId="166" fontId="92" fillId="12" borderId="22" xfId="50" applyNumberFormat="1" applyFont="1" applyFill="1" applyBorder="1" applyAlignment="1">
      <alignment horizontal="center" vertical="center"/>
    </xf>
    <xf numFmtId="166" fontId="92" fillId="12" borderId="22" xfId="0" applyNumberFormat="1" applyFont="1" applyFill="1" applyBorder="1" applyAlignment="1">
      <alignment horizontal="center" vertical="center"/>
    </xf>
    <xf numFmtId="166" fontId="155" fillId="12" borderId="27" xfId="50" applyNumberFormat="1" applyFont="1" applyFill="1" applyBorder="1" applyAlignment="1">
      <alignment horizontal="center" vertical="center" wrapText="1"/>
    </xf>
    <xf numFmtId="0" fontId="78" fillId="12" borderId="26" xfId="0" applyNumberFormat="1" applyFont="1" applyFill="1" applyBorder="1" applyAlignment="1">
      <alignment horizontal="left" vertical="center"/>
    </xf>
    <xf numFmtId="9" fontId="96" fillId="12" borderId="26" xfId="0" applyNumberFormat="1" applyFont="1" applyFill="1" applyBorder="1" applyAlignment="1">
      <alignment horizontal="center" vertical="center"/>
    </xf>
    <xf numFmtId="164" fontId="83" fillId="6" borderId="26" xfId="50" applyNumberFormat="1" applyFont="1" applyFill="1" applyBorder="1" applyAlignment="1">
      <alignment horizontal="center" vertical="center"/>
    </xf>
    <xf numFmtId="178" fontId="200" fillId="12" borderId="146" xfId="50" applyNumberFormat="1" applyFont="1" applyFill="1" applyBorder="1" applyAlignment="1">
      <alignment horizontal="center" vertical="center"/>
    </xf>
    <xf numFmtId="178" fontId="200" fillId="12" borderId="18" xfId="50" applyNumberFormat="1" applyFont="1" applyFill="1" applyBorder="1" applyAlignment="1">
      <alignment horizontal="center" vertical="center"/>
    </xf>
    <xf numFmtId="178" fontId="278" fillId="12" borderId="25" xfId="50" applyNumberFormat="1" applyFont="1" applyFill="1" applyBorder="1" applyAlignment="1">
      <alignment horizontal="center" vertical="center"/>
    </xf>
    <xf numFmtId="0" fontId="83" fillId="12" borderId="332" xfId="0" applyFont="1" applyFill="1" applyBorder="1" applyAlignment="1">
      <alignment horizontal="center" vertical="center"/>
    </xf>
    <xf numFmtId="0" fontId="83" fillId="12" borderId="159" xfId="0" applyFont="1" applyFill="1" applyBorder="1" applyAlignment="1">
      <alignment horizontal="center" vertical="center"/>
    </xf>
    <xf numFmtId="0" fontId="84" fillId="12" borderId="160" xfId="0" applyNumberFormat="1" applyFont="1" applyFill="1" applyBorder="1" applyAlignment="1">
      <alignment horizontal="center" vertical="center"/>
    </xf>
    <xf numFmtId="166" fontId="84" fillId="12" borderId="236" xfId="0" applyNumberFormat="1" applyFont="1" applyFill="1" applyBorder="1" applyAlignment="1">
      <alignment horizontal="center" vertical="center"/>
    </xf>
    <xf numFmtId="0" fontId="235" fillId="12" borderId="53" xfId="0" applyNumberFormat="1" applyFont="1" applyFill="1" applyBorder="1" applyAlignment="1">
      <alignment horizontal="center" vertical="center"/>
    </xf>
    <xf numFmtId="0" fontId="155" fillId="12" borderId="155" xfId="0" applyFont="1" applyFill="1" applyBorder="1" applyAlignment="1">
      <alignment horizontal="center" vertical="center" wrapText="1"/>
    </xf>
    <xf numFmtId="166" fontId="84" fillId="12" borderId="181" xfId="0" applyNumberFormat="1" applyFont="1" applyFill="1" applyBorder="1" applyAlignment="1">
      <alignment horizontal="center" vertical="center"/>
    </xf>
    <xf numFmtId="166" fontId="92" fillId="12" borderId="235" xfId="0" applyNumberFormat="1" applyFont="1" applyFill="1" applyBorder="1" applyAlignment="1">
      <alignment horizontal="center" vertical="center"/>
    </xf>
    <xf numFmtId="166" fontId="186" fillId="12" borderId="195" xfId="0" applyNumberFormat="1" applyFont="1" applyFill="1" applyBorder="1" applyAlignment="1">
      <alignment horizontal="center" vertical="center"/>
    </xf>
    <xf numFmtId="175" fontId="70" fillId="12" borderId="230" xfId="0" applyNumberFormat="1" applyFont="1" applyFill="1" applyBorder="1" applyAlignment="1">
      <alignment horizontal="center" vertical="center"/>
    </xf>
    <xf numFmtId="166" fontId="70" fillId="12" borderId="116" xfId="0" applyNumberFormat="1" applyFont="1" applyFill="1" applyBorder="1" applyAlignment="1">
      <alignment horizontal="center" vertical="center"/>
    </xf>
    <xf numFmtId="166" fontId="223" fillId="12" borderId="22" xfId="0" applyNumberFormat="1" applyFont="1" applyFill="1" applyBorder="1" applyAlignment="1">
      <alignment horizontal="center" vertical="center"/>
    </xf>
    <xf numFmtId="0" fontId="92" fillId="12" borderId="199" xfId="0" applyFont="1" applyFill="1" applyBorder="1" applyAlignment="1">
      <alignment horizontal="center" vertical="center"/>
    </xf>
    <xf numFmtId="0" fontId="84" fillId="12" borderId="166" xfId="0" applyFont="1" applyFill="1" applyBorder="1" applyAlignment="1">
      <alignment horizontal="center" vertical="center"/>
    </xf>
    <xf numFmtId="168" fontId="51" fillId="12" borderId="251" xfId="0" applyNumberFormat="1" applyFont="1" applyFill="1" applyBorder="1" applyAlignment="1">
      <alignment horizontal="center" vertical="center"/>
    </xf>
    <xf numFmtId="168" fontId="51" fillId="12" borderId="252" xfId="0" applyNumberFormat="1" applyFont="1" applyFill="1" applyBorder="1" applyAlignment="1">
      <alignment horizontal="center" vertical="center"/>
    </xf>
    <xf numFmtId="168" fontId="51" fillId="12" borderId="253" xfId="0" applyNumberFormat="1" applyFont="1" applyFill="1" applyBorder="1" applyAlignment="1">
      <alignment horizontal="center" vertical="center"/>
    </xf>
    <xf numFmtId="0" fontId="92" fillId="12" borderId="244" xfId="0" applyFont="1" applyFill="1" applyBorder="1" applyAlignment="1">
      <alignment horizontal="center" vertical="center"/>
    </xf>
    <xf numFmtId="0" fontId="0" fillId="12" borderId="179" xfId="0" applyFont="1" applyFill="1" applyBorder="1" applyAlignment="1">
      <alignment horizontal="center" vertical="center"/>
    </xf>
    <xf numFmtId="0" fontId="59" fillId="12" borderId="246" xfId="0" applyFont="1" applyFill="1" applyBorder="1" applyAlignment="1">
      <alignment vertical="center"/>
    </xf>
    <xf numFmtId="0" fontId="59" fillId="12" borderId="177" xfId="0" applyFont="1" applyFill="1" applyBorder="1" applyAlignment="1">
      <alignment vertical="center"/>
    </xf>
    <xf numFmtId="166" fontId="70" fillId="12" borderId="181" xfId="0" applyNumberFormat="1" applyFont="1" applyFill="1" applyBorder="1" applyAlignment="1">
      <alignment horizontal="center" vertical="center"/>
    </xf>
    <xf numFmtId="166" fontId="0" fillId="12" borderId="246" xfId="0" applyNumberFormat="1" applyFont="1" applyFill="1" applyBorder="1" applyAlignment="1">
      <alignment horizontal="center" vertical="center"/>
    </xf>
    <xf numFmtId="168" fontId="84" fillId="12" borderId="181" xfId="0" applyNumberFormat="1" applyFont="1" applyFill="1" applyBorder="1" applyAlignment="1">
      <alignment horizontal="center" vertical="center"/>
    </xf>
    <xf numFmtId="0" fontId="124" fillId="6" borderId="24" xfId="0" applyFont="1" applyFill="1" applyBorder="1" applyAlignment="1">
      <alignment horizontal="center" vertical="center" wrapText="1"/>
    </xf>
    <xf numFmtId="0" fontId="124" fillId="6" borderId="23" xfId="0" applyFont="1" applyFill="1" applyBorder="1" applyAlignment="1">
      <alignment horizontal="center" vertical="center" wrapText="1"/>
    </xf>
    <xf numFmtId="0" fontId="124" fillId="6" borderId="91" xfId="0" applyFont="1" applyFill="1" applyBorder="1" applyAlignment="1">
      <alignment horizontal="center" vertical="center" wrapText="1"/>
    </xf>
    <xf numFmtId="0" fontId="124" fillId="6" borderId="182" xfId="0" applyFont="1" applyFill="1" applyBorder="1" applyAlignment="1">
      <alignment horizontal="center" vertical="center" wrapText="1"/>
    </xf>
    <xf numFmtId="0" fontId="124" fillId="6" borderId="218" xfId="0" applyFont="1" applyFill="1" applyBorder="1" applyAlignment="1">
      <alignment horizontal="center" vertical="center" wrapText="1"/>
    </xf>
    <xf numFmtId="168" fontId="92" fillId="6" borderId="198" xfId="0" applyNumberFormat="1" applyFont="1" applyFill="1" applyBorder="1" applyAlignment="1">
      <alignment horizontal="center" vertical="center"/>
    </xf>
    <xf numFmtId="168" fontId="92" fillId="6" borderId="184" xfId="0" applyNumberFormat="1" applyFont="1" applyFill="1" applyBorder="1" applyAlignment="1">
      <alignment horizontal="center" vertical="center"/>
    </xf>
    <xf numFmtId="168" fontId="92" fillId="6" borderId="249" xfId="0" applyNumberFormat="1" applyFont="1" applyFill="1" applyBorder="1" applyAlignment="1">
      <alignment horizontal="center" vertical="center"/>
    </xf>
    <xf numFmtId="168" fontId="92" fillId="6" borderId="186" xfId="0" applyNumberFormat="1" applyFont="1" applyFill="1" applyBorder="1" applyAlignment="1">
      <alignment horizontal="center" vertical="center"/>
    </xf>
    <xf numFmtId="168" fontId="92" fillId="6" borderId="236" xfId="0" applyNumberFormat="1" applyFont="1" applyFill="1" applyBorder="1" applyAlignment="1">
      <alignment horizontal="center" vertical="center"/>
    </xf>
    <xf numFmtId="168" fontId="92" fillId="6" borderId="201" xfId="0" applyNumberFormat="1" applyFont="1" applyFill="1" applyBorder="1" applyAlignment="1">
      <alignment horizontal="center" vertical="center"/>
    </xf>
    <xf numFmtId="168" fontId="260" fillId="12" borderId="22" xfId="0" applyNumberFormat="1" applyFont="1" applyFill="1" applyBorder="1" applyAlignment="1">
      <alignment horizontal="center" vertical="center"/>
    </xf>
    <xf numFmtId="0" fontId="15" fillId="12" borderId="22" xfId="0" applyFont="1" applyFill="1" applyBorder="1" applyAlignment="1">
      <alignment horizontal="center" vertical="center"/>
    </xf>
    <xf numFmtId="0" fontId="31" fillId="12" borderId="17" xfId="0" applyFont="1" applyFill="1" applyBorder="1" applyAlignment="1">
      <alignment horizontal="center" vertical="center"/>
    </xf>
    <xf numFmtId="174" fontId="0" fillId="12" borderId="158" xfId="0" applyNumberFormat="1" applyFill="1" applyBorder="1" applyAlignment="1">
      <alignment vertical="center"/>
    </xf>
    <xf numFmtId="174" fontId="0" fillId="12" borderId="11" xfId="0" applyNumberFormat="1" applyFill="1" applyBorder="1" applyAlignment="1">
      <alignment vertical="center"/>
    </xf>
    <xf numFmtId="174" fontId="0" fillId="12" borderId="0" xfId="0" applyNumberFormat="1" applyFill="1" applyBorder="1" applyAlignment="1">
      <alignment vertical="center"/>
    </xf>
    <xf numFmtId="0" fontId="0" fillId="12" borderId="0" xfId="0" applyFill="1"/>
    <xf numFmtId="174" fontId="0" fillId="12" borderId="133" xfId="0" applyNumberFormat="1" applyFill="1" applyBorder="1" applyAlignment="1">
      <alignment vertical="center"/>
    </xf>
    <xf numFmtId="172" fontId="0" fillId="12" borderId="22" xfId="0" applyNumberFormat="1" applyFill="1" applyBorder="1" applyAlignment="1">
      <alignment vertical="center"/>
    </xf>
    <xf numFmtId="172" fontId="0" fillId="12" borderId="0" xfId="0" applyNumberFormat="1" applyFill="1" applyBorder="1" applyAlignment="1">
      <alignment vertical="center"/>
    </xf>
    <xf numFmtId="172" fontId="0" fillId="12" borderId="17" xfId="0" applyNumberFormat="1" applyFill="1" applyBorder="1" applyAlignment="1">
      <alignment vertical="center"/>
    </xf>
    <xf numFmtId="0" fontId="77" fillId="12" borderId="22" xfId="50" applyFont="1" applyFill="1" applyBorder="1" applyAlignment="1">
      <alignment horizontal="center" vertical="center"/>
    </xf>
    <xf numFmtId="166" fontId="181" fillId="12" borderId="22" xfId="0" applyNumberFormat="1" applyFont="1" applyFill="1" applyBorder="1" applyAlignment="1">
      <alignment horizontal="center" vertical="center"/>
    </xf>
    <xf numFmtId="166" fontId="246" fillId="12" borderId="22" xfId="50" applyNumberFormat="1" applyFont="1" applyFill="1" applyBorder="1" applyAlignment="1">
      <alignment horizontal="center" vertical="center"/>
    </xf>
    <xf numFmtId="12" fontId="53" fillId="12" borderId="22" xfId="0" applyNumberFormat="1" applyFont="1" applyFill="1" applyBorder="1" applyAlignment="1">
      <alignment horizontal="center" vertical="center"/>
    </xf>
    <xf numFmtId="0" fontId="176" fillId="6" borderId="22" xfId="50" applyFont="1" applyFill="1" applyBorder="1" applyAlignment="1">
      <alignment horizontal="center" vertical="center" wrapText="1"/>
    </xf>
    <xf numFmtId="0" fontId="129" fillId="6" borderId="22" xfId="0" applyFont="1" applyFill="1" applyBorder="1" applyAlignment="1">
      <alignment horizontal="center" vertical="center"/>
    </xf>
    <xf numFmtId="2" fontId="129" fillId="6" borderId="22" xfId="0" applyNumberFormat="1" applyFont="1" applyFill="1" applyBorder="1" applyAlignment="1">
      <alignment horizontal="center" vertical="center"/>
    </xf>
    <xf numFmtId="2" fontId="176" fillId="6" borderId="22" xfId="50" applyNumberFormat="1" applyFont="1" applyFill="1" applyBorder="1" applyAlignment="1">
      <alignment horizontal="center" vertical="center"/>
    </xf>
    <xf numFmtId="164" fontId="46" fillId="6" borderId="22" xfId="50" applyNumberFormat="1" applyFont="1" applyFill="1" applyBorder="1" applyAlignment="1">
      <alignment horizontal="center" vertical="center"/>
    </xf>
    <xf numFmtId="166" fontId="90" fillId="6" borderId="22" xfId="50" applyNumberFormat="1" applyFont="1" applyFill="1" applyBorder="1" applyAlignment="1">
      <alignment horizontal="center" vertical="center"/>
    </xf>
    <xf numFmtId="164" fontId="202" fillId="12" borderId="22" xfId="50" applyNumberFormat="1" applyFont="1" applyFill="1" applyBorder="1" applyAlignment="1">
      <alignment horizontal="center" vertical="center"/>
    </xf>
    <xf numFmtId="164" fontId="202" fillId="12" borderId="22" xfId="0" applyNumberFormat="1" applyFont="1" applyFill="1" applyBorder="1" applyAlignment="1">
      <alignment horizontal="center" vertical="center"/>
    </xf>
    <xf numFmtId="0" fontId="291" fillId="12" borderId="22" xfId="50" applyFont="1" applyFill="1" applyBorder="1" applyAlignment="1">
      <alignment horizontal="right" vertical="center"/>
    </xf>
    <xf numFmtId="0" fontId="129" fillId="12" borderId="22" xfId="0" applyFont="1" applyFill="1" applyBorder="1" applyAlignment="1">
      <alignment vertical="center"/>
    </xf>
    <xf numFmtId="0" fontId="123" fillId="12" borderId="22" xfId="50" applyFont="1" applyFill="1" applyBorder="1" applyAlignment="1">
      <alignment vertical="center"/>
    </xf>
    <xf numFmtId="0" fontId="292" fillId="12" borderId="22" xfId="50" applyFont="1" applyFill="1" applyBorder="1" applyAlignment="1">
      <alignment vertical="center"/>
    </xf>
    <xf numFmtId="10" fontId="200" fillId="6" borderId="22" xfId="50" applyNumberFormat="1" applyFont="1" applyFill="1" applyBorder="1" applyAlignment="1">
      <alignment horizontal="center" vertical="center"/>
    </xf>
    <xf numFmtId="166" fontId="200" fillId="6" borderId="22" xfId="50" applyNumberFormat="1" applyFont="1" applyFill="1" applyBorder="1" applyAlignment="1">
      <alignment horizontal="center" vertical="center"/>
    </xf>
    <xf numFmtId="166" fontId="177" fillId="6" borderId="22" xfId="50" applyNumberFormat="1" applyFont="1" applyFill="1" applyBorder="1" applyAlignment="1">
      <alignment horizontal="center" vertical="center"/>
    </xf>
    <xf numFmtId="0" fontId="92" fillId="6" borderId="158" xfId="50" applyFont="1" applyFill="1" applyBorder="1" applyAlignment="1">
      <alignment horizontal="center" vertical="center"/>
    </xf>
    <xf numFmtId="0" fontId="92" fillId="6" borderId="11" xfId="50" applyFont="1" applyFill="1" applyBorder="1" applyAlignment="1">
      <alignment horizontal="center" vertical="center"/>
    </xf>
    <xf numFmtId="0" fontId="92" fillId="6" borderId="13" xfId="50" applyFont="1" applyFill="1" applyBorder="1" applyAlignment="1">
      <alignment horizontal="center" vertical="center"/>
    </xf>
    <xf numFmtId="0" fontId="223" fillId="12" borderId="27" xfId="0" applyNumberFormat="1" applyFont="1" applyFill="1" applyBorder="1" applyAlignment="1">
      <alignment horizontal="left" vertical="center"/>
    </xf>
    <xf numFmtId="166" fontId="53" fillId="12" borderId="22" xfId="0" applyNumberFormat="1" applyFont="1" applyFill="1" applyBorder="1" applyAlignment="1">
      <alignment horizontal="center" vertical="center"/>
    </xf>
    <xf numFmtId="0" fontId="305" fillId="52" borderId="120" xfId="0" applyFont="1" applyFill="1" applyBorder="1" applyAlignment="1">
      <alignment horizontal="left" vertical="center" wrapText="1"/>
    </xf>
    <xf numFmtId="0" fontId="304" fillId="52" borderId="115" xfId="0" applyFont="1" applyFill="1" applyBorder="1" applyAlignment="1">
      <alignment horizontal="center" vertical="center" wrapText="1"/>
    </xf>
    <xf numFmtId="0" fontId="83" fillId="51" borderId="290" xfId="0" applyFont="1" applyFill="1" applyBorder="1" applyAlignment="1">
      <alignment horizontal="center" vertical="center"/>
    </xf>
    <xf numFmtId="0" fontId="83" fillId="38" borderId="286" xfId="0" applyFont="1" applyFill="1" applyBorder="1" applyAlignment="1">
      <alignment horizontal="center" vertical="center"/>
    </xf>
    <xf numFmtId="0" fontId="83" fillId="51" borderId="294" xfId="0" applyFont="1" applyFill="1" applyBorder="1" applyAlignment="1">
      <alignment horizontal="center" vertical="center"/>
    </xf>
    <xf numFmtId="0" fontId="83" fillId="51" borderId="292" xfId="0" applyFont="1" applyFill="1" applyBorder="1" applyAlignment="1">
      <alignment horizontal="center" vertical="center"/>
    </xf>
    <xf numFmtId="0" fontId="123" fillId="11" borderId="288" xfId="0" applyFont="1" applyFill="1" applyBorder="1" applyAlignment="1">
      <alignment horizontal="center" vertical="center" wrapText="1"/>
    </xf>
    <xf numFmtId="0" fontId="83" fillId="53" borderId="291" xfId="0" applyFont="1" applyFill="1" applyBorder="1" applyAlignment="1">
      <alignment horizontal="center" vertical="center"/>
    </xf>
    <xf numFmtId="0" fontId="223" fillId="12" borderId="25" xfId="0" applyNumberFormat="1" applyFont="1" applyFill="1" applyBorder="1" applyAlignment="1">
      <alignment horizontal="right" vertical="center"/>
    </xf>
    <xf numFmtId="0" fontId="20" fillId="12" borderId="22" xfId="0" applyFont="1" applyFill="1" applyBorder="1" applyAlignment="1">
      <alignment horizontal="center" vertical="center"/>
    </xf>
    <xf numFmtId="2" fontId="127" fillId="12" borderId="273" xfId="0" applyNumberFormat="1" applyFont="1" applyFill="1" applyBorder="1" applyAlignment="1">
      <alignment horizontal="center" vertical="center"/>
    </xf>
    <xf numFmtId="2" fontId="127" fillId="12" borderId="273" xfId="67" applyNumberFormat="1" applyFont="1" applyFill="1" applyBorder="1" applyAlignment="1">
      <alignment horizontal="center" vertical="center"/>
    </xf>
    <xf numFmtId="0" fontId="33" fillId="12" borderId="139" xfId="0" applyFont="1" applyFill="1" applyBorder="1" applyAlignment="1">
      <alignment vertical="center"/>
    </xf>
    <xf numFmtId="10" fontId="0" fillId="12" borderId="214" xfId="0" applyNumberFormat="1" applyFill="1" applyBorder="1" applyAlignment="1">
      <alignment horizontal="center" vertical="center"/>
    </xf>
    <xf numFmtId="0" fontId="33" fillId="12" borderId="214" xfId="0" applyNumberFormat="1" applyFont="1" applyFill="1" applyBorder="1" applyAlignment="1">
      <alignment horizontal="center" vertical="center"/>
    </xf>
    <xf numFmtId="0" fontId="33" fillId="12" borderId="254" xfId="0" applyNumberFormat="1" applyFont="1" applyFill="1" applyBorder="1" applyAlignment="1">
      <alignment horizontal="center" vertical="center"/>
    </xf>
    <xf numFmtId="2" fontId="33" fillId="12" borderId="214" xfId="0" applyNumberFormat="1" applyFont="1" applyFill="1" applyBorder="1" applyAlignment="1">
      <alignment horizontal="center" vertical="center"/>
    </xf>
    <xf numFmtId="0" fontId="33" fillId="12" borderId="339" xfId="0" applyNumberFormat="1" applyFont="1" applyFill="1" applyBorder="1" applyAlignment="1">
      <alignment horizontal="center" vertical="center"/>
    </xf>
    <xf numFmtId="0" fontId="33" fillId="12" borderId="340" xfId="0" applyNumberFormat="1" applyFont="1" applyFill="1" applyBorder="1" applyAlignment="1">
      <alignment horizontal="center" vertical="center"/>
    </xf>
    <xf numFmtId="180" fontId="359" fillId="6" borderId="22" xfId="80" applyNumberFormat="1" applyFont="1" applyFill="1" applyBorder="1" applyAlignment="1">
      <alignment horizontal="center" vertical="center"/>
    </xf>
    <xf numFmtId="14" fontId="359" fillId="6" borderId="22" xfId="80" applyNumberFormat="1" applyFont="1" applyFill="1" applyBorder="1" applyAlignment="1">
      <alignment horizontal="center" vertical="center"/>
    </xf>
    <xf numFmtId="2" fontId="359" fillId="6" borderId="22" xfId="80" applyNumberFormat="1" applyFont="1" applyFill="1" applyBorder="1" applyAlignment="1">
      <alignment horizontal="center" vertical="center"/>
    </xf>
    <xf numFmtId="10" fontId="359" fillId="6" borderId="22" xfId="80" applyNumberFormat="1" applyFont="1" applyFill="1" applyBorder="1" applyAlignment="1">
      <alignment horizontal="center" vertical="center"/>
    </xf>
    <xf numFmtId="10" fontId="359" fillId="6" borderId="27" xfId="80" applyNumberFormat="1" applyFont="1" applyFill="1" applyBorder="1" applyAlignment="1">
      <alignment horizontal="center" vertical="center"/>
    </xf>
    <xf numFmtId="166" fontId="359" fillId="6" borderId="22" xfId="80" applyNumberFormat="1" applyFont="1" applyFill="1" applyBorder="1" applyAlignment="1">
      <alignment horizontal="center" vertical="center"/>
    </xf>
    <xf numFmtId="179" fontId="359" fillId="6" borderId="22" xfId="80" applyNumberFormat="1" applyFont="1" applyFill="1" applyBorder="1" applyAlignment="1">
      <alignment horizontal="center" vertical="center"/>
    </xf>
    <xf numFmtId="179" fontId="358" fillId="6" borderId="22" xfId="80" applyNumberFormat="1" applyFont="1" applyFill="1" applyBorder="1" applyAlignment="1">
      <alignment horizontal="center" vertical="center"/>
    </xf>
    <xf numFmtId="0" fontId="55" fillId="0" borderId="22" xfId="80" applyFont="1" applyBorder="1" applyAlignment="1">
      <alignment horizontal="center" vertical="center" wrapText="1"/>
    </xf>
    <xf numFmtId="0" fontId="55" fillId="0" borderId="17" xfId="80" applyFont="1" applyBorder="1" applyAlignment="1">
      <alignment horizontal="center" vertical="center" wrapText="1"/>
    </xf>
    <xf numFmtId="0" fontId="61" fillId="0" borderId="22" xfId="80" applyFont="1" applyBorder="1" applyAlignment="1">
      <alignment horizontal="center" vertical="center" wrapText="1"/>
    </xf>
    <xf numFmtId="0" fontId="0" fillId="0" borderId="21" xfId="0" applyFill="1" applyBorder="1" applyAlignment="1">
      <alignment horizontal="center"/>
    </xf>
    <xf numFmtId="0" fontId="0" fillId="0" borderId="21" xfId="0" applyFill="1" applyBorder="1" applyAlignment="1"/>
    <xf numFmtId="0" fontId="155" fillId="43" borderId="23" xfId="0" applyFont="1" applyFill="1" applyBorder="1" applyAlignment="1">
      <alignment horizontal="center" vertical="top"/>
    </xf>
    <xf numFmtId="0" fontId="344" fillId="0" borderId="24" xfId="0" applyFont="1" applyBorder="1" applyAlignment="1"/>
    <xf numFmtId="0" fontId="185" fillId="4" borderId="44" xfId="0" applyFont="1" applyFill="1" applyBorder="1" applyAlignment="1">
      <alignment horizontal="center" vertical="center" wrapText="1"/>
    </xf>
    <xf numFmtId="166" fontId="84" fillId="4" borderId="159" xfId="0" applyNumberFormat="1" applyFont="1" applyFill="1" applyBorder="1" applyAlignment="1">
      <alignment horizontal="center" vertical="center" wrapText="1"/>
    </xf>
    <xf numFmtId="166" fontId="84" fillId="4" borderId="22" xfId="0" applyNumberFormat="1" applyFont="1" applyFill="1" applyBorder="1" applyAlignment="1">
      <alignment horizontal="center" vertical="center" wrapText="1"/>
    </xf>
    <xf numFmtId="0" fontId="185" fillId="4" borderId="47" xfId="0" applyFont="1" applyFill="1" applyBorder="1" applyAlignment="1">
      <alignment horizontal="center" vertical="center" wrapText="1"/>
    </xf>
    <xf numFmtId="166" fontId="84" fillId="4" borderId="159" xfId="0" applyNumberFormat="1" applyFont="1" applyFill="1" applyBorder="1" applyAlignment="1">
      <alignment horizontal="center" vertical="center" wrapText="1"/>
    </xf>
    <xf numFmtId="0" fontId="84" fillId="4" borderId="91" xfId="0" applyFont="1" applyFill="1" applyBorder="1" applyAlignment="1">
      <alignment horizontal="center" vertical="center" wrapText="1"/>
    </xf>
    <xf numFmtId="0" fontId="84" fillId="4" borderId="23" xfId="0" applyFont="1" applyFill="1" applyBorder="1" applyAlignment="1">
      <alignment horizontal="center" vertical="center" wrapText="1"/>
    </xf>
    <xf numFmtId="0" fontId="84" fillId="4" borderId="24" xfId="0" applyFont="1" applyFill="1" applyBorder="1" applyAlignment="1">
      <alignment horizontal="center" vertical="center" wrapText="1"/>
    </xf>
    <xf numFmtId="0" fontId="185" fillId="4" borderId="50" xfId="0" applyFont="1" applyFill="1" applyBorder="1" applyAlignment="1">
      <alignment horizontal="center" vertical="center" wrapText="1"/>
    </xf>
    <xf numFmtId="0" fontId="259" fillId="4" borderId="0" xfId="0" applyFont="1" applyFill="1" applyBorder="1" applyAlignment="1">
      <alignment horizontal="center" vertical="center" textRotation="90" wrapText="1"/>
    </xf>
    <xf numFmtId="0" fontId="209" fillId="4" borderId="44" xfId="0" applyFont="1" applyFill="1" applyBorder="1" applyAlignment="1">
      <alignment horizontal="center" vertical="center" wrapText="1"/>
    </xf>
    <xf numFmtId="0" fontId="209" fillId="4" borderId="46" xfId="0" applyFont="1" applyFill="1" applyBorder="1" applyAlignment="1">
      <alignment horizontal="center" vertical="center" wrapText="1"/>
    </xf>
    <xf numFmtId="0" fontId="209" fillId="4" borderId="20" xfId="0" applyFont="1" applyFill="1" applyBorder="1" applyAlignment="1">
      <alignment horizontal="center" vertical="center" wrapText="1"/>
    </xf>
    <xf numFmtId="0" fontId="209" fillId="4" borderId="21" xfId="0" applyFont="1" applyFill="1" applyBorder="1" applyAlignment="1">
      <alignment horizontal="center" vertical="center" wrapText="1"/>
    </xf>
    <xf numFmtId="166" fontId="263" fillId="4" borderId="159" xfId="0" applyNumberFormat="1" applyFont="1" applyFill="1" applyBorder="1" applyAlignment="1">
      <alignment horizontal="center" vertical="center" wrapText="1"/>
    </xf>
    <xf numFmtId="166" fontId="263" fillId="4" borderId="22" xfId="0" applyNumberFormat="1" applyFont="1" applyFill="1" applyBorder="1" applyAlignment="1">
      <alignment horizontal="center" vertical="center" wrapText="1"/>
    </xf>
    <xf numFmtId="0" fontId="290" fillId="4" borderId="0" xfId="0" applyFont="1" applyFill="1" applyBorder="1" applyAlignment="1">
      <alignment horizontal="center" vertical="center" textRotation="90" wrapText="1"/>
    </xf>
    <xf numFmtId="0" fontId="209" fillId="4" borderId="47" xfId="0" applyFont="1" applyFill="1" applyBorder="1" applyAlignment="1">
      <alignment horizontal="center" vertical="center" wrapText="1"/>
    </xf>
    <xf numFmtId="0" fontId="209" fillId="4" borderId="49" xfId="0" applyFont="1" applyFill="1" applyBorder="1" applyAlignment="1">
      <alignment horizontal="center" vertical="center" wrapText="1"/>
    </xf>
    <xf numFmtId="166" fontId="263" fillId="4" borderId="159" xfId="0" applyNumberFormat="1" applyFont="1" applyFill="1" applyBorder="1" applyAlignment="1">
      <alignment horizontal="center" vertical="center" wrapText="1"/>
    </xf>
    <xf numFmtId="166" fontId="209" fillId="4" borderId="46" xfId="0" applyNumberFormat="1" applyFont="1" applyFill="1" applyBorder="1" applyAlignment="1">
      <alignment horizontal="center" vertical="center"/>
    </xf>
    <xf numFmtId="166" fontId="209" fillId="4" borderId="158" xfId="0" applyNumberFormat="1" applyFont="1" applyFill="1" applyBorder="1" applyAlignment="1">
      <alignment horizontal="center" vertical="center"/>
    </xf>
    <xf numFmtId="0" fontId="263" fillId="4" borderId="91" xfId="0" applyFont="1" applyFill="1" applyBorder="1" applyAlignment="1">
      <alignment horizontal="center" vertical="center" wrapText="1"/>
    </xf>
    <xf numFmtId="0" fontId="263" fillId="4" borderId="23" xfId="0" applyFont="1" applyFill="1" applyBorder="1" applyAlignment="1">
      <alignment horizontal="center" vertical="center" wrapText="1"/>
    </xf>
    <xf numFmtId="0" fontId="263" fillId="4" borderId="24" xfId="0" applyFont="1" applyFill="1" applyBorder="1" applyAlignment="1">
      <alignment horizontal="center" vertical="center" wrapText="1"/>
    </xf>
    <xf numFmtId="0" fontId="209" fillId="4" borderId="50" xfId="0" applyFont="1" applyFill="1" applyBorder="1" applyAlignment="1">
      <alignment horizontal="center" vertical="center" wrapText="1"/>
    </xf>
    <xf numFmtId="0" fontId="209" fillId="4" borderId="52" xfId="0" applyFont="1" applyFill="1" applyBorder="1" applyAlignment="1">
      <alignment horizontal="center" vertical="center" wrapText="1"/>
    </xf>
    <xf numFmtId="0" fontId="187" fillId="4" borderId="0" xfId="0" applyFont="1" applyFill="1" applyBorder="1" applyAlignment="1">
      <alignment horizontal="center" vertical="center" textRotation="90" wrapText="1"/>
    </xf>
    <xf numFmtId="0" fontId="187" fillId="4" borderId="0" xfId="0" applyFont="1" applyFill="1" applyAlignment="1">
      <alignment horizontal="center" vertical="center" textRotation="90" wrapText="1"/>
    </xf>
    <xf numFmtId="0" fontId="185" fillId="4" borderId="115" xfId="0" applyFont="1" applyFill="1" applyBorder="1" applyAlignment="1">
      <alignment horizontal="center" vertical="center" wrapText="1"/>
    </xf>
    <xf numFmtId="0" fontId="84" fillId="4" borderId="194" xfId="0" applyFont="1" applyFill="1" applyBorder="1" applyAlignment="1">
      <alignment horizontal="center" vertical="center" wrapText="1"/>
    </xf>
    <xf numFmtId="0" fontId="185" fillId="6" borderId="0" xfId="0" applyFont="1" applyFill="1" applyBorder="1" applyAlignment="1">
      <alignment vertical="center"/>
    </xf>
    <xf numFmtId="10" fontId="185" fillId="6" borderId="34" xfId="0" applyNumberFormat="1" applyFont="1" applyFill="1" applyBorder="1" applyAlignment="1">
      <alignment horizontal="center" vertical="center"/>
    </xf>
    <xf numFmtId="166" fontId="152" fillId="11" borderId="169" xfId="0" applyNumberFormat="1" applyFont="1" applyFill="1" applyBorder="1" applyAlignment="1">
      <alignment horizontal="center" vertical="center"/>
    </xf>
    <xf numFmtId="9" fontId="70" fillId="8" borderId="71" xfId="0" applyNumberFormat="1" applyFont="1" applyFill="1" applyBorder="1" applyAlignment="1">
      <alignment horizontal="center" vertical="center"/>
    </xf>
    <xf numFmtId="16" fontId="233" fillId="6" borderId="86" xfId="0" applyNumberFormat="1" applyFont="1" applyFill="1" applyBorder="1" applyAlignment="1">
      <alignment horizontal="center" vertical="center"/>
    </xf>
    <xf numFmtId="16" fontId="233" fillId="12" borderId="71" xfId="0" applyNumberFormat="1" applyFont="1" applyFill="1" applyBorder="1" applyAlignment="1">
      <alignment horizontal="center" vertical="center"/>
    </xf>
    <xf numFmtId="0" fontId="64" fillId="0" borderId="304" xfId="0" applyFont="1" applyBorder="1" applyAlignment="1">
      <alignment horizontal="right" vertical="center"/>
    </xf>
    <xf numFmtId="10" fontId="64" fillId="0" borderId="11" xfId="0" applyNumberFormat="1" applyFont="1" applyBorder="1" applyAlignment="1">
      <alignment horizontal="center" vertical="center"/>
    </xf>
    <xf numFmtId="10" fontId="64" fillId="0" borderId="86" xfId="0" applyNumberFormat="1" applyFont="1" applyFill="1" applyBorder="1" applyAlignment="1">
      <alignment horizontal="center" vertical="center"/>
    </xf>
    <xf numFmtId="2" fontId="64" fillId="0" borderId="11" xfId="0" applyNumberFormat="1" applyFont="1" applyBorder="1" applyAlignment="1">
      <alignment vertical="center"/>
    </xf>
    <xf numFmtId="2" fontId="64" fillId="0" borderId="341" xfId="0" applyNumberFormat="1" applyFont="1" applyBorder="1" applyAlignment="1">
      <alignment vertical="center"/>
    </xf>
    <xf numFmtId="2" fontId="64" fillId="0" borderId="342" xfId="0" applyNumberFormat="1" applyFont="1" applyBorder="1" applyAlignment="1">
      <alignment vertical="center"/>
    </xf>
    <xf numFmtId="2" fontId="64" fillId="0" borderId="90" xfId="0" applyNumberFormat="1" applyFont="1" applyBorder="1" applyAlignment="1">
      <alignment vertical="center"/>
    </xf>
    <xf numFmtId="2" fontId="64" fillId="0" borderId="49" xfId="0" applyNumberFormat="1" applyFont="1" applyBorder="1" applyAlignment="1">
      <alignment vertical="center"/>
    </xf>
    <xf numFmtId="0" fontId="64" fillId="0" borderId="143" xfId="0" applyFont="1" applyBorder="1" applyAlignment="1">
      <alignment horizontal="right" vertical="center"/>
    </xf>
    <xf numFmtId="10" fontId="64" fillId="0" borderId="234" xfId="0" applyNumberFormat="1" applyFont="1" applyBorder="1" applyAlignment="1">
      <alignment horizontal="center" vertical="center"/>
    </xf>
    <xf numFmtId="2" fontId="64" fillId="0" borderId="234" xfId="0" applyNumberFormat="1" applyFont="1" applyBorder="1" applyAlignment="1">
      <alignment vertical="center"/>
    </xf>
    <xf numFmtId="2" fontId="64" fillId="0" borderId="343" xfId="0" applyNumberFormat="1" applyFont="1" applyBorder="1" applyAlignment="1">
      <alignment vertical="center"/>
    </xf>
    <xf numFmtId="2" fontId="64" fillId="0" borderId="344" xfId="0" applyNumberFormat="1" applyFont="1" applyBorder="1" applyAlignment="1">
      <alignment vertical="center"/>
    </xf>
    <xf numFmtId="2" fontId="64" fillId="0" borderId="30" xfId="0" applyNumberFormat="1" applyFont="1" applyBorder="1" applyAlignment="1">
      <alignment vertical="center"/>
    </xf>
    <xf numFmtId="0" fontId="64" fillId="0" borderId="0" xfId="0" applyFont="1" applyFill="1" applyBorder="1" applyAlignment="1">
      <alignment horizontal="center"/>
    </xf>
    <xf numFmtId="2" fontId="64" fillId="9" borderId="90" xfId="0" applyNumberFormat="1" applyFont="1" applyFill="1" applyBorder="1" applyAlignment="1">
      <alignment horizontal="right" vertical="center"/>
    </xf>
    <xf numFmtId="2" fontId="64" fillId="0" borderId="90" xfId="0" applyNumberFormat="1" applyFont="1" applyBorder="1" applyAlignment="1">
      <alignment horizontal="right" vertical="center"/>
    </xf>
    <xf numFmtId="166" fontId="263" fillId="54" borderId="157" xfId="0" applyNumberFormat="1" applyFont="1" applyFill="1" applyBorder="1" applyAlignment="1">
      <alignment horizontal="center" vertical="center"/>
    </xf>
    <xf numFmtId="0" fontId="0" fillId="44" borderId="23" xfId="0" applyFill="1" applyBorder="1"/>
    <xf numFmtId="1" fontId="249" fillId="44" borderId="23" xfId="0" applyNumberFormat="1" applyFont="1" applyFill="1" applyBorder="1" applyAlignment="1">
      <alignment horizontal="center" vertical="center"/>
    </xf>
    <xf numFmtId="166" fontId="70" fillId="12" borderId="22" xfId="50" applyNumberFormat="1" applyFont="1" applyFill="1" applyBorder="1" applyAlignment="1">
      <alignment horizontal="center" vertical="center"/>
    </xf>
    <xf numFmtId="0" fontId="70" fillId="6" borderId="22" xfId="50" applyFont="1" applyFill="1" applyBorder="1" applyAlignment="1">
      <alignment horizontal="center" vertical="center"/>
    </xf>
    <xf numFmtId="0" fontId="151" fillId="8" borderId="22" xfId="50" applyFont="1" applyFill="1" applyBorder="1" applyAlignment="1">
      <alignment horizontal="center" vertical="center"/>
    </xf>
    <xf numFmtId="0" fontId="151" fillId="8" borderId="17" xfId="50" applyFont="1" applyFill="1" applyBorder="1" applyAlignment="1">
      <alignment horizontal="center" vertical="center"/>
    </xf>
    <xf numFmtId="0" fontId="390" fillId="0" borderId="0" xfId="0" applyFont="1" applyAlignment="1">
      <alignment horizontal="center" vertical="center"/>
    </xf>
    <xf numFmtId="0" fontId="151" fillId="0" borderId="0" xfId="0" applyFont="1" applyFill="1" applyBorder="1" applyAlignment="1">
      <alignment horizontal="left" vertical="center"/>
    </xf>
    <xf numFmtId="0" fontId="234" fillId="0" borderId="0" xfId="0" applyFont="1" applyAlignment="1">
      <alignment horizontal="right" vertical="center"/>
    </xf>
    <xf numFmtId="0" fontId="234" fillId="0" borderId="0" xfId="0" applyNumberFormat="1" applyFont="1" applyAlignment="1">
      <alignment horizontal="center" vertical="center"/>
    </xf>
    <xf numFmtId="0" fontId="234" fillId="0" borderId="0" xfId="0" applyFont="1" applyAlignment="1">
      <alignment vertical="center"/>
    </xf>
    <xf numFmtId="164" fontId="391" fillId="0" borderId="0" xfId="0" applyNumberFormat="1" applyFont="1" applyAlignment="1">
      <alignment vertical="center"/>
    </xf>
    <xf numFmtId="0" fontId="392" fillId="0" borderId="0" xfId="0" applyFont="1" applyAlignment="1">
      <alignment vertical="center"/>
    </xf>
    <xf numFmtId="0" fontId="151" fillId="0" borderId="0" xfId="0" applyFont="1" applyBorder="1" applyAlignment="1">
      <alignment horizontal="right" vertical="center"/>
    </xf>
    <xf numFmtId="164" fontId="393" fillId="0" borderId="0" xfId="61" applyNumberFormat="1" applyFont="1" applyBorder="1" applyAlignment="1">
      <alignment vertical="center"/>
    </xf>
    <xf numFmtId="0" fontId="150" fillId="0" borderId="0" xfId="0" applyFont="1" applyAlignment="1">
      <alignment horizontal="right" vertical="center"/>
    </xf>
    <xf numFmtId="164" fontId="392" fillId="0" borderId="0" xfId="61" applyNumberFormat="1" applyFont="1" applyBorder="1" applyAlignment="1">
      <alignment vertical="center"/>
    </xf>
    <xf numFmtId="0" fontId="151" fillId="0" borderId="0" xfId="0" applyFont="1" applyFill="1" applyBorder="1" applyAlignment="1">
      <alignment horizontal="right" vertical="center"/>
    </xf>
    <xf numFmtId="164" fontId="393" fillId="0" borderId="0" xfId="61" applyNumberFormat="1" applyFont="1" applyFill="1" applyBorder="1" applyAlignment="1">
      <alignment vertical="center"/>
    </xf>
    <xf numFmtId="0" fontId="273" fillId="0" borderId="0" xfId="0" applyFont="1" applyFill="1" applyBorder="1" applyAlignment="1">
      <alignment horizontal="right" vertical="center"/>
    </xf>
    <xf numFmtId="10" fontId="150" fillId="0" borderId="0" xfId="0" applyNumberFormat="1" applyFont="1" applyFill="1" applyBorder="1" applyAlignment="1">
      <alignment horizontal="right" vertical="center"/>
    </xf>
    <xf numFmtId="164" fontId="150" fillId="0" borderId="0" xfId="61" applyNumberFormat="1" applyFont="1" applyFill="1" applyBorder="1" applyAlignment="1">
      <alignment horizontal="right" vertical="center"/>
    </xf>
    <xf numFmtId="0" fontId="150" fillId="0" borderId="0" xfId="0" applyFont="1" applyAlignment="1">
      <alignment vertical="center"/>
    </xf>
    <xf numFmtId="164" fontId="150" fillId="0" borderId="0" xfId="0" applyNumberFormat="1" applyFont="1" applyAlignment="1">
      <alignment vertical="center"/>
    </xf>
    <xf numFmtId="0" fontId="392" fillId="0" borderId="0" xfId="0" applyFont="1" applyFill="1" applyBorder="1" applyAlignment="1">
      <alignment vertical="center"/>
    </xf>
    <xf numFmtId="10" fontId="393" fillId="0" borderId="0" xfId="0" applyNumberFormat="1" applyFont="1" applyFill="1" applyBorder="1" applyAlignment="1">
      <alignment horizontal="right" vertical="center"/>
    </xf>
    <xf numFmtId="164" fontId="393" fillId="0" borderId="0" xfId="61" applyNumberFormat="1" applyFont="1" applyFill="1" applyBorder="1" applyAlignment="1">
      <alignment horizontal="right" vertical="center"/>
    </xf>
    <xf numFmtId="0" fontId="150" fillId="0" borderId="0" xfId="0" applyFont="1" applyBorder="1" applyAlignment="1">
      <alignment horizontal="right" vertical="center"/>
    </xf>
    <xf numFmtId="12" fontId="150" fillId="0" borderId="346" xfId="0" applyNumberFormat="1" applyFont="1" applyBorder="1" applyAlignment="1">
      <alignment horizontal="right" vertical="center"/>
    </xf>
    <xf numFmtId="180" fontId="273" fillId="0" borderId="60" xfId="0" applyNumberFormat="1" applyFont="1" applyBorder="1" applyAlignment="1">
      <alignment horizontal="center" vertical="center"/>
    </xf>
    <xf numFmtId="44" fontId="150" fillId="0" borderId="61" xfId="61" applyFont="1" applyBorder="1" applyAlignment="1">
      <alignment vertical="center"/>
    </xf>
    <xf numFmtId="12" fontId="150" fillId="0" borderId="60" xfId="0" applyNumberFormat="1" applyFont="1" applyBorder="1" applyAlignment="1">
      <alignment horizontal="right" vertical="center"/>
    </xf>
    <xf numFmtId="44" fontId="150" fillId="0" borderId="0" xfId="61" applyFont="1" applyAlignment="1">
      <alignment vertical="center"/>
    </xf>
    <xf numFmtId="166" fontId="273" fillId="0" borderId="60" xfId="0" applyNumberFormat="1" applyFont="1" applyBorder="1" applyAlignment="1">
      <alignment horizontal="center" vertical="center"/>
    </xf>
    <xf numFmtId="164" fontId="390" fillId="0" borderId="0" xfId="0" applyNumberFormat="1" applyFont="1" applyBorder="1" applyAlignment="1">
      <alignment horizontal="left" vertical="center"/>
    </xf>
    <xf numFmtId="0" fontId="273" fillId="0" borderId="0" xfId="0" applyFont="1" applyBorder="1" applyAlignment="1">
      <alignment horizontal="center" vertical="center"/>
    </xf>
    <xf numFmtId="0" fontId="150" fillId="0" borderId="62" xfId="0" applyFont="1" applyBorder="1" applyAlignment="1">
      <alignment horizontal="left" vertical="center"/>
    </xf>
    <xf numFmtId="44" fontId="150" fillId="0" borderId="67" xfId="61" applyFont="1" applyBorder="1" applyAlignment="1">
      <alignment vertical="center"/>
    </xf>
    <xf numFmtId="44" fontId="150" fillId="0" borderId="0" xfId="61" applyFont="1" applyBorder="1" applyAlignment="1">
      <alignment vertical="center"/>
    </xf>
    <xf numFmtId="0" fontId="150" fillId="0" borderId="62" xfId="0" applyFont="1" applyBorder="1" applyAlignment="1">
      <alignment vertical="center"/>
    </xf>
    <xf numFmtId="0" fontId="150" fillId="0" borderId="0" xfId="0" applyFont="1" applyBorder="1" applyAlignment="1">
      <alignment vertical="center"/>
    </xf>
    <xf numFmtId="0" fontId="273" fillId="0" borderId="0" xfId="0" applyFont="1" applyBorder="1" applyAlignment="1">
      <alignment horizontal="right" vertical="center"/>
    </xf>
    <xf numFmtId="0" fontId="273" fillId="0" borderId="346" xfId="0" applyNumberFormat="1" applyFont="1" applyBorder="1" applyAlignment="1">
      <alignment horizontal="center" vertical="center"/>
    </xf>
    <xf numFmtId="166" fontId="273" fillId="0" borderId="346" xfId="0" applyNumberFormat="1" applyFont="1" applyBorder="1" applyAlignment="1">
      <alignment horizontal="center" vertical="center"/>
    </xf>
    <xf numFmtId="44" fontId="150" fillId="0" borderId="0" xfId="61" applyFont="1" applyBorder="1" applyAlignment="1">
      <alignment horizontal="right" vertical="center"/>
    </xf>
    <xf numFmtId="0" fontId="273" fillId="0" borderId="60" xfId="0" applyFont="1" applyBorder="1" applyAlignment="1">
      <alignment horizontal="center" vertical="center"/>
    </xf>
    <xf numFmtId="44" fontId="150" fillId="0" borderId="0" xfId="61" applyFont="1" applyAlignment="1">
      <alignment horizontal="right" vertical="center"/>
    </xf>
    <xf numFmtId="164" fontId="273" fillId="0" borderId="60" xfId="0" applyNumberFormat="1" applyFont="1" applyBorder="1" applyAlignment="1">
      <alignment horizontal="center" vertical="center"/>
    </xf>
    <xf numFmtId="0" fontId="150" fillId="0" borderId="0" xfId="0" applyFont="1" applyBorder="1" applyAlignment="1">
      <alignment horizontal="left" vertical="center"/>
    </xf>
    <xf numFmtId="166" fontId="150" fillId="0" borderId="60" xfId="0" applyNumberFormat="1" applyFont="1" applyBorder="1" applyAlignment="1">
      <alignment horizontal="center" vertical="center"/>
    </xf>
    <xf numFmtId="0" fontId="150" fillId="0" borderId="60" xfId="0" applyFont="1" applyBorder="1" applyAlignment="1">
      <alignment horizontal="center" vertical="center"/>
    </xf>
    <xf numFmtId="0" fontId="150" fillId="0" borderId="62" xfId="0" applyFont="1" applyBorder="1" applyAlignment="1">
      <alignment horizontal="center" vertical="center"/>
    </xf>
    <xf numFmtId="0" fontId="273" fillId="0" borderId="0" xfId="0" applyFont="1" applyAlignment="1">
      <alignment horizontal="center" vertical="center"/>
    </xf>
    <xf numFmtId="180" fontId="150" fillId="0" borderId="59" xfId="0" applyNumberFormat="1" applyFont="1" applyBorder="1" applyAlignment="1">
      <alignment vertical="center"/>
    </xf>
    <xf numFmtId="0" fontId="150" fillId="0" borderId="63" xfId="0" applyNumberFormat="1" applyFont="1" applyBorder="1" applyAlignment="1">
      <alignment horizontal="center" vertical="center"/>
    </xf>
    <xf numFmtId="180" fontId="150" fillId="0" borderId="61" xfId="0" applyNumberFormat="1" applyFont="1" applyBorder="1" applyAlignment="1">
      <alignment vertical="center"/>
    </xf>
    <xf numFmtId="180" fontId="150" fillId="0" borderId="62" xfId="0" applyNumberFormat="1" applyFont="1" applyBorder="1" applyAlignment="1">
      <alignment vertical="center"/>
    </xf>
    <xf numFmtId="0" fontId="150" fillId="0" borderId="60" xfId="0" applyNumberFormat="1" applyFont="1" applyBorder="1" applyAlignment="1">
      <alignment horizontal="center" vertical="center"/>
    </xf>
    <xf numFmtId="180" fontId="150" fillId="0" borderId="0" xfId="0" applyNumberFormat="1" applyFont="1" applyAlignment="1">
      <alignment vertical="center"/>
    </xf>
    <xf numFmtId="164" fontId="150" fillId="0" borderId="62" xfId="0" applyNumberFormat="1" applyFont="1" applyBorder="1" applyAlignment="1">
      <alignment vertical="center"/>
    </xf>
    <xf numFmtId="0" fontId="150" fillId="0" borderId="0" xfId="0" applyFont="1" applyAlignment="1">
      <alignment horizontal="left" vertical="center"/>
    </xf>
    <xf numFmtId="44" fontId="150" fillId="0" borderId="60" xfId="61" applyFont="1" applyBorder="1" applyAlignment="1">
      <alignment horizontal="center" vertical="center"/>
    </xf>
    <xf numFmtId="0" fontId="150" fillId="0" borderId="0" xfId="0" applyFont="1" applyBorder="1" applyAlignment="1">
      <alignment horizontal="center" vertical="center"/>
    </xf>
    <xf numFmtId="0" fontId="150" fillId="0" borderId="0" xfId="0" applyFont="1" applyAlignment="1">
      <alignment horizontal="right"/>
    </xf>
    <xf numFmtId="44" fontId="150" fillId="0" borderId="0" xfId="61" applyFont="1" applyAlignment="1"/>
    <xf numFmtId="0" fontId="150" fillId="0" borderId="0" xfId="0" applyFont="1" applyAlignment="1"/>
    <xf numFmtId="9" fontId="150" fillId="0" borderId="0" xfId="0" applyNumberFormat="1" applyFont="1" applyAlignment="1">
      <alignment horizontal="left"/>
    </xf>
    <xf numFmtId="10" fontId="395" fillId="9" borderId="0" xfId="0" applyNumberFormat="1" applyFont="1" applyFill="1" applyBorder="1" applyAlignment="1">
      <alignment horizontal="right" vertical="center"/>
    </xf>
    <xf numFmtId="9" fontId="396" fillId="0" borderId="0" xfId="0" applyNumberFormat="1" applyFont="1" applyAlignment="1">
      <alignment horizontal="center" vertical="center"/>
    </xf>
    <xf numFmtId="166" fontId="395" fillId="9" borderId="0" xfId="0" applyNumberFormat="1" applyFont="1" applyFill="1" applyBorder="1" applyAlignment="1">
      <alignment horizontal="right" vertical="center"/>
    </xf>
    <xf numFmtId="164" fontId="395" fillId="0" borderId="0" xfId="0" applyNumberFormat="1" applyFont="1" applyAlignment="1">
      <alignment vertical="center"/>
    </xf>
    <xf numFmtId="0" fontId="277" fillId="0" borderId="0" xfId="0" applyFont="1" applyAlignment="1"/>
    <xf numFmtId="0" fontId="395" fillId="0" borderId="0" xfId="0" applyFont="1" applyAlignment="1">
      <alignment horizontal="right" vertical="center"/>
    </xf>
    <xf numFmtId="166" fontId="395" fillId="0" borderId="0" xfId="0" applyNumberFormat="1" applyFont="1" applyAlignment="1">
      <alignment vertical="center"/>
    </xf>
    <xf numFmtId="164" fontId="277" fillId="0" borderId="0" xfId="0" applyNumberFormat="1" applyFont="1"/>
    <xf numFmtId="0" fontId="277" fillId="0" borderId="0" xfId="0" applyFont="1"/>
    <xf numFmtId="166" fontId="396" fillId="0" borderId="0" xfId="0" applyNumberFormat="1" applyFont="1" applyAlignment="1">
      <alignment vertical="center"/>
    </xf>
    <xf numFmtId="164" fontId="395" fillId="0" borderId="0" xfId="0" applyNumberFormat="1" applyFont="1" applyAlignment="1">
      <alignment horizontal="center" vertical="center" wrapText="1"/>
    </xf>
    <xf numFmtId="0" fontId="396" fillId="0" borderId="0" xfId="0" applyFont="1" applyFill="1" applyBorder="1" applyAlignment="1">
      <alignment horizontal="right" vertical="center"/>
    </xf>
    <xf numFmtId="164" fontId="397" fillId="0" borderId="0" xfId="0" applyNumberFormat="1" applyFont="1" applyAlignment="1">
      <alignment horizontal="right" vertical="center"/>
    </xf>
    <xf numFmtId="15" fontId="396" fillId="0" borderId="0" xfId="0" applyNumberFormat="1" applyFont="1" applyFill="1" applyBorder="1" applyAlignment="1">
      <alignment horizontal="center" vertical="center"/>
    </xf>
    <xf numFmtId="164" fontId="397" fillId="0" borderId="0" xfId="0" applyNumberFormat="1" applyFont="1" applyFill="1" applyBorder="1" applyAlignment="1">
      <alignment horizontal="right" vertical="center"/>
    </xf>
    <xf numFmtId="166" fontId="185" fillId="0" borderId="0" xfId="0" applyNumberFormat="1" applyFont="1" applyAlignment="1">
      <alignment horizontal="center"/>
    </xf>
    <xf numFmtId="0" fontId="185" fillId="0" borderId="0" xfId="0" applyFont="1" applyAlignment="1">
      <alignment horizontal="center"/>
    </xf>
    <xf numFmtId="166" fontId="343" fillId="0" borderId="0" xfId="0" applyNumberFormat="1" applyFont="1" applyAlignment="1">
      <alignment horizontal="center"/>
    </xf>
    <xf numFmtId="166" fontId="273" fillId="0" borderId="0" xfId="0" applyNumberFormat="1" applyFont="1" applyAlignment="1">
      <alignment horizontal="right" vertical="center"/>
    </xf>
    <xf numFmtId="9" fontId="273" fillId="0" borderId="0" xfId="0" applyNumberFormat="1" applyFont="1" applyAlignment="1">
      <alignment horizontal="left" vertical="center"/>
    </xf>
    <xf numFmtId="166" fontId="347" fillId="6" borderId="0" xfId="0" applyNumberFormat="1" applyFont="1" applyFill="1" applyBorder="1" applyAlignment="1">
      <alignment horizontal="center" vertical="center"/>
    </xf>
    <xf numFmtId="166" fontId="347" fillId="6" borderId="29" xfId="0" applyNumberFormat="1" applyFont="1" applyFill="1" applyBorder="1" applyAlignment="1">
      <alignment horizontal="center" vertical="center"/>
    </xf>
    <xf numFmtId="0" fontId="278" fillId="39" borderId="19" xfId="0" applyFont="1" applyFill="1" applyBorder="1" applyAlignment="1">
      <alignment horizontal="left" vertical="center"/>
    </xf>
    <xf numFmtId="0" fontId="83" fillId="53" borderId="347" xfId="0" applyFont="1" applyFill="1" applyBorder="1" applyAlignment="1">
      <alignment horizontal="center" vertical="center"/>
    </xf>
    <xf numFmtId="0" fontId="83" fillId="12" borderId="176" xfId="0" applyFont="1" applyFill="1" applyBorder="1" applyAlignment="1">
      <alignment horizontal="center" vertical="center"/>
    </xf>
    <xf numFmtId="0" fontId="241" fillId="8" borderId="22" xfId="0" applyFont="1" applyFill="1" applyBorder="1" applyAlignment="1">
      <alignment horizontal="center" vertical="center"/>
    </xf>
    <xf numFmtId="0" fontId="335" fillId="6" borderId="0" xfId="0" applyFont="1" applyFill="1" applyBorder="1" applyAlignment="1">
      <alignment horizontal="center" vertical="center"/>
    </xf>
    <xf numFmtId="166" fontId="384" fillId="6" borderId="128" xfId="0" applyNumberFormat="1" applyFont="1" applyFill="1" applyBorder="1" applyAlignment="1">
      <alignment horizontal="center" vertical="center"/>
    </xf>
    <xf numFmtId="0" fontId="51" fillId="6" borderId="25" xfId="0" applyFont="1" applyFill="1" applyBorder="1" applyAlignment="1">
      <alignment horizontal="right" vertical="center" wrapText="1"/>
    </xf>
    <xf numFmtId="0" fontId="92" fillId="49" borderId="19" xfId="0" applyFont="1" applyFill="1" applyBorder="1" applyAlignment="1">
      <alignment wrapText="1"/>
    </xf>
    <xf numFmtId="2" fontId="399" fillId="49" borderId="0" xfId="0" applyNumberFormat="1" applyFont="1" applyFill="1" applyBorder="1" applyAlignment="1">
      <alignment horizontal="center" vertical="center" wrapText="1"/>
    </xf>
    <xf numFmtId="2" fontId="399" fillId="6" borderId="0" xfId="0" applyNumberFormat="1" applyFont="1" applyFill="1" applyBorder="1" applyAlignment="1">
      <alignment horizontal="center" vertical="center"/>
    </xf>
    <xf numFmtId="9" fontId="124" fillId="8" borderId="8" xfId="67" applyNumberFormat="1" applyFont="1" applyFill="1" applyBorder="1" applyAlignment="1">
      <alignment horizontal="center"/>
    </xf>
    <xf numFmtId="9" fontId="124" fillId="8" borderId="11" xfId="67" applyNumberFormat="1" applyFont="1" applyFill="1" applyBorder="1" applyAlignment="1">
      <alignment horizontal="center"/>
    </xf>
    <xf numFmtId="9" fontId="124" fillId="8" borderId="133" xfId="67" applyNumberFormat="1" applyFont="1" applyFill="1" applyBorder="1" applyAlignment="1">
      <alignment horizontal="center"/>
    </xf>
    <xf numFmtId="9" fontId="124" fillId="8" borderId="145" xfId="67" applyNumberFormat="1" applyFont="1" applyFill="1" applyBorder="1" applyAlignment="1">
      <alignment horizontal="center"/>
    </xf>
    <xf numFmtId="0" fontId="253" fillId="44" borderId="23" xfId="0" applyFont="1" applyFill="1" applyBorder="1" applyAlignment="1">
      <alignment horizontal="center" vertical="center"/>
    </xf>
    <xf numFmtId="1" fontId="253" fillId="44" borderId="23" xfId="0" applyNumberFormat="1" applyFont="1" applyFill="1" applyBorder="1" applyAlignment="1">
      <alignment horizontal="center" vertical="center"/>
    </xf>
    <xf numFmtId="1" fontId="401" fillId="44" borderId="18" xfId="0" applyNumberFormat="1" applyFont="1" applyFill="1" applyBorder="1" applyAlignment="1">
      <alignment horizontal="center" vertical="center"/>
    </xf>
    <xf numFmtId="0" fontId="0" fillId="44" borderId="24" xfId="0" applyFill="1" applyBorder="1" applyAlignment="1">
      <alignment vertical="center"/>
    </xf>
    <xf numFmtId="0" fontId="0" fillId="44" borderId="20" xfId="0" applyFill="1" applyBorder="1" applyAlignment="1">
      <alignment vertical="center"/>
    </xf>
    <xf numFmtId="0" fontId="249" fillId="44" borderId="24" xfId="0" applyFont="1" applyFill="1" applyBorder="1" applyAlignment="1">
      <alignment vertical="center" wrapText="1"/>
    </xf>
    <xf numFmtId="166" fontId="389" fillId="48" borderId="23" xfId="0" applyNumberFormat="1" applyFont="1" applyFill="1" applyBorder="1" applyAlignment="1">
      <alignment horizontal="center" vertical="center"/>
    </xf>
    <xf numFmtId="166" fontId="208" fillId="6" borderId="170" xfId="0" applyNumberFormat="1" applyFont="1" applyFill="1" applyBorder="1" applyAlignment="1">
      <alignment horizontal="center" vertical="center"/>
    </xf>
    <xf numFmtId="0" fontId="222" fillId="6" borderId="22" xfId="0" applyFont="1" applyFill="1" applyBorder="1" applyAlignment="1">
      <alignment horizontal="center" vertical="center" wrapText="1"/>
    </xf>
    <xf numFmtId="0" fontId="222" fillId="6" borderId="25" xfId="0" applyFont="1" applyFill="1" applyBorder="1" applyAlignment="1">
      <alignment horizontal="center" vertical="center" wrapText="1"/>
    </xf>
    <xf numFmtId="0" fontId="162" fillId="18" borderId="0" xfId="0" applyFont="1" applyFill="1" applyBorder="1" applyAlignment="1">
      <alignment horizontal="center"/>
    </xf>
    <xf numFmtId="3" fontId="214" fillId="9" borderId="0" xfId="0" applyNumberFormat="1" applyFont="1" applyFill="1" applyBorder="1"/>
    <xf numFmtId="3" fontId="214" fillId="9" borderId="0" xfId="0" applyNumberFormat="1" applyFont="1" applyFill="1" applyBorder="1" applyAlignment="1">
      <alignment horizontal="center"/>
    </xf>
    <xf numFmtId="1" fontId="0" fillId="0" borderId="0" xfId="0" applyNumberFormat="1" applyBorder="1"/>
    <xf numFmtId="1" fontId="53" fillId="0" borderId="102" xfId="0" applyNumberFormat="1" applyFont="1" applyBorder="1" applyAlignment="1">
      <alignment horizontal="center"/>
    </xf>
    <xf numFmtId="1" fontId="148" fillId="6" borderId="0" xfId="0" applyNumberFormat="1" applyFont="1" applyFill="1" applyBorder="1"/>
    <xf numFmtId="3" fontId="5" fillId="0" borderId="14" xfId="0" applyNumberFormat="1" applyFont="1" applyBorder="1" applyAlignment="1">
      <alignment vertical="center"/>
    </xf>
    <xf numFmtId="3" fontId="0" fillId="0" borderId="15" xfId="0" applyNumberFormat="1" applyBorder="1" applyAlignment="1">
      <alignment horizontal="center" vertical="center"/>
    </xf>
    <xf numFmtId="3" fontId="0" fillId="0" borderId="16" xfId="0" applyNumberFormat="1" applyBorder="1" applyAlignment="1">
      <alignment horizontal="center" vertical="center"/>
    </xf>
    <xf numFmtId="3" fontId="6" fillId="6" borderId="15" xfId="0" applyNumberFormat="1" applyFont="1" applyFill="1" applyBorder="1" applyAlignment="1">
      <alignment vertical="center" wrapText="1"/>
    </xf>
    <xf numFmtId="0" fontId="0" fillId="0" borderId="15" xfId="0" applyBorder="1" applyAlignment="1">
      <alignment vertical="center" wrapText="1"/>
    </xf>
    <xf numFmtId="0" fontId="0" fillId="0" borderId="0" xfId="0" applyBorder="1" applyAlignment="1">
      <alignment vertical="center" wrapText="1"/>
    </xf>
    <xf numFmtId="3" fontId="52" fillId="0" borderId="349" xfId="0" applyNumberFormat="1" applyFont="1" applyBorder="1"/>
    <xf numFmtId="3" fontId="52" fillId="0" borderId="352" xfId="0" applyNumberFormat="1" applyFont="1" applyBorder="1"/>
    <xf numFmtId="3" fontId="52" fillId="0" borderId="355" xfId="0" applyNumberFormat="1" applyFont="1" applyBorder="1"/>
    <xf numFmtId="3" fontId="52" fillId="0" borderId="350" xfId="0" applyNumberFormat="1" applyFont="1" applyBorder="1" applyAlignment="1">
      <alignment horizontal="center" vertical="center"/>
    </xf>
    <xf numFmtId="3" fontId="52" fillId="0" borderId="353" xfId="0" applyNumberFormat="1" applyFont="1" applyBorder="1" applyAlignment="1">
      <alignment horizontal="center" vertical="center"/>
    </xf>
    <xf numFmtId="3" fontId="52" fillId="0" borderId="361" xfId="0" applyNumberFormat="1" applyFont="1" applyBorder="1" applyAlignment="1">
      <alignment horizontal="center" vertical="center"/>
    </xf>
    <xf numFmtId="3" fontId="52" fillId="0" borderId="351" xfId="0" applyNumberFormat="1" applyFont="1" applyBorder="1" applyAlignment="1">
      <alignment horizontal="center" vertical="center"/>
    </xf>
    <xf numFmtId="3" fontId="52" fillId="0" borderId="354" xfId="0" applyNumberFormat="1" applyFont="1" applyBorder="1" applyAlignment="1">
      <alignment horizontal="center" vertical="center"/>
    </xf>
    <xf numFmtId="3" fontId="52" fillId="0" borderId="362" xfId="0" applyNumberFormat="1" applyFont="1" applyBorder="1" applyAlignment="1">
      <alignment horizontal="center" vertical="center"/>
    </xf>
    <xf numFmtId="3" fontId="82" fillId="18" borderId="14" xfId="0" applyNumberFormat="1" applyFont="1" applyFill="1" applyBorder="1" applyAlignment="1">
      <alignment vertical="center"/>
    </xf>
    <xf numFmtId="0" fontId="198" fillId="18" borderId="15" xfId="0" applyFont="1" applyFill="1" applyBorder="1"/>
    <xf numFmtId="0" fontId="198" fillId="18" borderId="15" xfId="0" applyFont="1" applyFill="1" applyBorder="1" applyAlignment="1">
      <alignment horizontal="center"/>
    </xf>
    <xf numFmtId="0" fontId="198" fillId="18" borderId="16" xfId="0" applyFont="1" applyFill="1" applyBorder="1" applyAlignment="1">
      <alignment horizontal="center"/>
    </xf>
    <xf numFmtId="1" fontId="162" fillId="18" borderId="38" xfId="0" applyNumberFormat="1" applyFont="1" applyFill="1" applyBorder="1" applyAlignment="1">
      <alignment horizontal="center" vertical="center"/>
    </xf>
    <xf numFmtId="0" fontId="0" fillId="0" borderId="45" xfId="0" applyBorder="1"/>
    <xf numFmtId="0" fontId="0" fillId="0" borderId="51" xfId="0" applyBorder="1"/>
    <xf numFmtId="3" fontId="4" fillId="0" borderId="358" xfId="0" applyNumberFormat="1" applyFont="1" applyBorder="1" applyAlignment="1">
      <alignment vertical="center"/>
    </xf>
    <xf numFmtId="3" fontId="4" fillId="0" borderId="359" xfId="0" applyNumberFormat="1" applyFont="1" applyBorder="1" applyAlignment="1">
      <alignment vertical="center"/>
    </xf>
    <xf numFmtId="3" fontId="4" fillId="0" borderId="360" xfId="0" applyNumberFormat="1" applyFont="1" applyBorder="1" applyAlignment="1">
      <alignment vertical="center"/>
    </xf>
    <xf numFmtId="166" fontId="384" fillId="6" borderId="363" xfId="0" applyNumberFormat="1" applyFont="1" applyFill="1" applyBorder="1" applyAlignment="1">
      <alignment horizontal="center" vertical="center"/>
    </xf>
    <xf numFmtId="0" fontId="402" fillId="2" borderId="0" xfId="0" applyFont="1" applyFill="1" applyBorder="1" applyAlignment="1">
      <alignment vertical="center"/>
    </xf>
    <xf numFmtId="0" fontId="285" fillId="9" borderId="58" xfId="0" applyFont="1" applyFill="1" applyBorder="1" applyAlignment="1">
      <alignment horizontal="center" vertical="center"/>
    </xf>
    <xf numFmtId="0" fontId="285" fillId="9" borderId="57" xfId="0" applyFont="1" applyFill="1" applyBorder="1" applyAlignment="1">
      <alignment horizontal="right" vertical="center"/>
    </xf>
    <xf numFmtId="44" fontId="285" fillId="9" borderId="57" xfId="61" applyFont="1" applyFill="1" applyBorder="1" applyAlignment="1">
      <alignment horizontal="right" vertical="center"/>
    </xf>
    <xf numFmtId="166" fontId="285" fillId="9" borderId="58" xfId="0" applyNumberFormat="1" applyFont="1" applyFill="1" applyBorder="1" applyAlignment="1">
      <alignment horizontal="center" vertical="center"/>
    </xf>
    <xf numFmtId="44" fontId="285" fillId="9" borderId="64" xfId="61" applyFont="1" applyFill="1" applyBorder="1" applyAlignment="1">
      <alignment horizontal="center" vertical="center"/>
    </xf>
    <xf numFmtId="44" fontId="285" fillId="9" borderId="64" xfId="61" applyFont="1" applyFill="1" applyBorder="1" applyAlignment="1">
      <alignment horizontal="right" vertical="center"/>
    </xf>
    <xf numFmtId="166" fontId="152" fillId="6" borderId="364" xfId="0" applyNumberFormat="1" applyFont="1" applyFill="1" applyBorder="1" applyAlignment="1">
      <alignment horizontal="center" vertical="center"/>
    </xf>
    <xf numFmtId="166" fontId="364" fillId="6" borderId="48" xfId="0" applyNumberFormat="1" applyFont="1" applyFill="1" applyBorder="1" applyAlignment="1">
      <alignment horizontal="center" vertical="center"/>
    </xf>
    <xf numFmtId="166" fontId="364" fillId="6" borderId="337" xfId="0" applyNumberFormat="1" applyFont="1" applyFill="1" applyBorder="1" applyAlignment="1">
      <alignment horizontal="center" vertical="center"/>
    </xf>
    <xf numFmtId="166" fontId="152" fillId="6" borderId="365" xfId="0" applyNumberFormat="1" applyFont="1" applyFill="1" applyBorder="1" applyAlignment="1">
      <alignment horizontal="center" vertical="center"/>
    </xf>
    <xf numFmtId="0" fontId="185" fillId="6" borderId="20" xfId="0" applyFont="1" applyFill="1" applyBorder="1" applyAlignment="1">
      <alignment horizontal="center" vertical="center" wrapText="1"/>
    </xf>
    <xf numFmtId="0" fontId="185" fillId="6" borderId="21" xfId="0" applyFont="1" applyFill="1" applyBorder="1" applyAlignment="1">
      <alignment horizontal="center" vertical="center" wrapText="1"/>
    </xf>
    <xf numFmtId="166" fontId="186" fillId="6" borderId="128" xfId="0" applyNumberFormat="1" applyFont="1" applyFill="1" applyBorder="1" applyAlignment="1">
      <alignment horizontal="center" vertical="center"/>
    </xf>
    <xf numFmtId="166" fontId="152" fillId="6" borderId="108" xfId="0" applyNumberFormat="1" applyFont="1" applyFill="1" applyBorder="1" applyAlignment="1">
      <alignment horizontal="center" vertical="center"/>
    </xf>
    <xf numFmtId="166" fontId="185" fillId="6" borderId="46" xfId="0" applyNumberFormat="1" applyFont="1" applyFill="1" applyBorder="1" applyAlignment="1">
      <alignment horizontal="center" vertical="center"/>
    </xf>
    <xf numFmtId="166" fontId="185" fillId="6" borderId="158" xfId="0" applyNumberFormat="1" applyFont="1" applyFill="1" applyBorder="1" applyAlignment="1">
      <alignment horizontal="center" vertical="center"/>
    </xf>
    <xf numFmtId="166" fontId="185" fillId="6" borderId="128" xfId="0" applyNumberFormat="1" applyFont="1" applyFill="1" applyBorder="1" applyAlignment="1">
      <alignment horizontal="center" vertical="center"/>
    </xf>
    <xf numFmtId="166" fontId="298" fillId="6" borderId="128" xfId="0" applyNumberFormat="1" applyFont="1" applyFill="1" applyBorder="1" applyAlignment="1">
      <alignment horizontal="center" vertical="center"/>
    </xf>
    <xf numFmtId="166" fontId="152" fillId="6" borderId="345" xfId="0" applyNumberFormat="1" applyFont="1" applyFill="1" applyBorder="1" applyAlignment="1">
      <alignment horizontal="center" vertical="center"/>
    </xf>
    <xf numFmtId="0" fontId="0" fillId="2" borderId="0" xfId="0" applyFill="1" applyBorder="1"/>
    <xf numFmtId="0" fontId="0" fillId="2" borderId="0" xfId="0" applyFill="1" applyBorder="1" applyAlignment="1">
      <alignment horizontal="center"/>
    </xf>
    <xf numFmtId="0" fontId="0" fillId="2" borderId="0" xfId="0" applyFill="1"/>
    <xf numFmtId="0" fontId="0" fillId="2" borderId="26" xfId="0" applyFill="1" applyBorder="1" applyAlignment="1">
      <alignment horizontal="center" vertical="center" wrapText="1"/>
    </xf>
    <xf numFmtId="0" fontId="0" fillId="2" borderId="27" xfId="0" applyFill="1" applyBorder="1" applyAlignment="1">
      <alignment horizontal="center" vertical="center" wrapText="1"/>
    </xf>
    <xf numFmtId="0" fontId="0" fillId="2" borderId="102" xfId="0" applyFill="1" applyBorder="1"/>
    <xf numFmtId="0" fontId="216" fillId="2" borderId="0" xfId="0" applyFont="1" applyFill="1" applyBorder="1" applyAlignment="1">
      <alignment horizontal="center" vertical="center"/>
    </xf>
    <xf numFmtId="0" fontId="130" fillId="2" borderId="19" xfId="0" applyFont="1" applyFill="1" applyBorder="1" applyAlignment="1">
      <alignment horizontal="center"/>
    </xf>
    <xf numFmtId="0" fontId="0" fillId="2" borderId="250" xfId="0" applyFill="1" applyBorder="1"/>
    <xf numFmtId="0" fontId="0" fillId="2" borderId="24" xfId="0" applyFill="1" applyBorder="1"/>
    <xf numFmtId="0" fontId="0" fillId="2" borderId="23" xfId="0" applyFill="1" applyBorder="1"/>
    <xf numFmtId="0" fontId="187" fillId="0" borderId="0" xfId="0" applyFont="1" applyFill="1" applyBorder="1" applyAlignment="1">
      <alignment horizontal="center" vertical="center" textRotation="90" wrapText="1"/>
    </xf>
    <xf numFmtId="0" fontId="185" fillId="0" borderId="44" xfId="0" applyFont="1" applyFill="1" applyBorder="1" applyAlignment="1">
      <alignment horizontal="center" vertical="center" wrapText="1"/>
    </xf>
    <xf numFmtId="0" fontId="185" fillId="0" borderId="46" xfId="0" applyFont="1" applyFill="1" applyBorder="1" applyAlignment="1">
      <alignment horizontal="center" vertical="center" wrapText="1"/>
    </xf>
    <xf numFmtId="0" fontId="185" fillId="0" borderId="20" xfId="0" applyFont="1" applyFill="1" applyBorder="1" applyAlignment="1">
      <alignment horizontal="center" vertical="center" wrapText="1"/>
    </xf>
    <xf numFmtId="0" fontId="185" fillId="0" borderId="21" xfId="0" applyFont="1" applyFill="1" applyBorder="1" applyAlignment="1">
      <alignment horizontal="center" vertical="center" wrapText="1"/>
    </xf>
    <xf numFmtId="166" fontId="186" fillId="0" borderId="128" xfId="0" applyNumberFormat="1" applyFont="1" applyFill="1" applyBorder="1" applyAlignment="1">
      <alignment horizontal="center" vertical="center"/>
    </xf>
    <xf numFmtId="166" fontId="152" fillId="0" borderId="108" xfId="0" applyNumberFormat="1" applyFont="1" applyFill="1" applyBorder="1" applyAlignment="1">
      <alignment horizontal="center" vertical="center"/>
    </xf>
    <xf numFmtId="166" fontId="84" fillId="0" borderId="159" xfId="0" applyNumberFormat="1" applyFont="1" applyFill="1" applyBorder="1" applyAlignment="1">
      <alignment horizontal="center" vertical="center" wrapText="1"/>
    </xf>
    <xf numFmtId="166" fontId="84" fillId="0" borderId="22" xfId="0" applyNumberFormat="1" applyFont="1" applyFill="1" applyBorder="1" applyAlignment="1">
      <alignment horizontal="center" vertical="center" wrapText="1"/>
    </xf>
    <xf numFmtId="0" fontId="185" fillId="0" borderId="47" xfId="0" applyFont="1" applyFill="1" applyBorder="1" applyAlignment="1">
      <alignment horizontal="center" vertical="center" wrapText="1"/>
    </xf>
    <xf numFmtId="0" fontId="185" fillId="0" borderId="49" xfId="0" applyFont="1" applyFill="1" applyBorder="1" applyAlignment="1">
      <alignment horizontal="center" vertical="center" wrapText="1"/>
    </xf>
    <xf numFmtId="166" fontId="185" fillId="0" borderId="46" xfId="0" applyNumberFormat="1" applyFont="1" applyFill="1" applyBorder="1" applyAlignment="1">
      <alignment horizontal="center" vertical="center"/>
    </xf>
    <xf numFmtId="166" fontId="185" fillId="0" borderId="158" xfId="0" applyNumberFormat="1" applyFont="1" applyFill="1" applyBorder="1" applyAlignment="1">
      <alignment horizontal="center" vertical="center"/>
    </xf>
    <xf numFmtId="0" fontId="84" fillId="0" borderId="91" xfId="0" applyFont="1" applyFill="1" applyBorder="1" applyAlignment="1">
      <alignment horizontal="center" vertical="center" wrapText="1"/>
    </xf>
    <xf numFmtId="0" fontId="84" fillId="0" borderId="23" xfId="0" applyFont="1" applyFill="1" applyBorder="1" applyAlignment="1">
      <alignment horizontal="center" vertical="center" wrapText="1"/>
    </xf>
    <xf numFmtId="0" fontId="84" fillId="0" borderId="24" xfId="0" applyFont="1" applyFill="1" applyBorder="1" applyAlignment="1">
      <alignment horizontal="center" vertical="center" wrapText="1"/>
    </xf>
    <xf numFmtId="0" fontId="185" fillId="0" borderId="50" xfId="0" applyFont="1" applyFill="1" applyBorder="1" applyAlignment="1">
      <alignment horizontal="center" vertical="center" wrapText="1"/>
    </xf>
    <xf numFmtId="0" fontId="185" fillId="0" borderId="52" xfId="0" applyFont="1" applyFill="1" applyBorder="1" applyAlignment="1">
      <alignment horizontal="center" vertical="center" wrapText="1"/>
    </xf>
    <xf numFmtId="166" fontId="185" fillId="0" borderId="128" xfId="0" applyNumberFormat="1" applyFont="1" applyFill="1" applyBorder="1" applyAlignment="1">
      <alignment horizontal="center" vertical="center"/>
    </xf>
    <xf numFmtId="0" fontId="403" fillId="52" borderId="254" xfId="0" applyFont="1" applyFill="1" applyBorder="1" applyAlignment="1">
      <alignment horizontal="center" vertical="center" wrapText="1"/>
    </xf>
    <xf numFmtId="0" fontId="403" fillId="52" borderId="214" xfId="0" applyFont="1" applyFill="1" applyBorder="1" applyAlignment="1">
      <alignment horizontal="center" vertical="center" wrapText="1"/>
    </xf>
    <xf numFmtId="0" fontId="403" fillId="52" borderId="171" xfId="0" applyFont="1" applyFill="1" applyBorder="1" applyAlignment="1">
      <alignment horizontal="center" vertical="center" wrapText="1"/>
    </xf>
    <xf numFmtId="0" fontId="404" fillId="52" borderId="24" xfId="0" applyFont="1" applyFill="1" applyBorder="1" applyAlignment="1">
      <alignment horizontal="center" vertical="center" wrapText="1"/>
    </xf>
    <xf numFmtId="0" fontId="403" fillId="52" borderId="30" xfId="0" applyFont="1" applyFill="1" applyBorder="1" applyAlignment="1">
      <alignment horizontal="center" vertical="center" wrapText="1"/>
    </xf>
    <xf numFmtId="0" fontId="403" fillId="52" borderId="234" xfId="0" applyFont="1" applyFill="1" applyBorder="1" applyAlignment="1">
      <alignment horizontal="center" vertical="center" wrapText="1"/>
    </xf>
    <xf numFmtId="0" fontId="403" fillId="52" borderId="331" xfId="0" applyFont="1" applyFill="1" applyBorder="1" applyAlignment="1">
      <alignment horizontal="center" vertical="center" wrapText="1"/>
    </xf>
    <xf numFmtId="166" fontId="298" fillId="6" borderId="47" xfId="0" applyNumberFormat="1" applyFont="1" applyFill="1" applyBorder="1" applyAlignment="1">
      <alignment horizontal="center" vertical="center"/>
    </xf>
    <xf numFmtId="166" fontId="298" fillId="6" borderId="305" xfId="0" applyNumberFormat="1" applyFont="1" applyFill="1" applyBorder="1" applyAlignment="1">
      <alignment horizontal="center" vertical="center" wrapText="1"/>
    </xf>
    <xf numFmtId="167" fontId="388" fillId="11" borderId="17" xfId="0" applyNumberFormat="1" applyFont="1" applyFill="1" applyBorder="1" applyAlignment="1">
      <alignment horizontal="center" vertical="center"/>
    </xf>
    <xf numFmtId="0" fontId="185" fillId="11" borderId="86" xfId="0" applyFont="1" applyFill="1" applyBorder="1" applyAlignment="1">
      <alignment horizontal="center" vertical="center" wrapText="1"/>
    </xf>
    <xf numFmtId="167" fontId="388" fillId="11" borderId="86" xfId="0" applyNumberFormat="1" applyFont="1" applyFill="1" applyBorder="1" applyAlignment="1">
      <alignment horizontal="center" vertical="center"/>
    </xf>
    <xf numFmtId="167" fontId="388" fillId="11" borderId="234" xfId="0" applyNumberFormat="1" applyFont="1" applyFill="1" applyBorder="1" applyAlignment="1">
      <alignment horizontal="center" vertical="center" wrapText="1"/>
    </xf>
    <xf numFmtId="0" fontId="253" fillId="0" borderId="0" xfId="0" applyFont="1"/>
    <xf numFmtId="166" fontId="185" fillId="6" borderId="0" xfId="0" applyNumberFormat="1" applyFont="1" applyFill="1" applyBorder="1" applyAlignment="1">
      <alignment vertical="center"/>
    </xf>
    <xf numFmtId="166" fontId="84" fillId="12" borderId="166" xfId="0" applyNumberFormat="1" applyFont="1" applyFill="1" applyBorder="1" applyAlignment="1">
      <alignment horizontal="center" vertical="center"/>
    </xf>
    <xf numFmtId="0" fontId="254" fillId="6" borderId="0" xfId="0" applyFont="1" applyFill="1" applyBorder="1" applyAlignment="1">
      <alignment horizontal="right" vertical="center"/>
    </xf>
    <xf numFmtId="0" fontId="405" fillId="6" borderId="0" xfId="0" applyFont="1" applyFill="1" applyBorder="1" applyAlignment="1">
      <alignment horizontal="center" vertical="center"/>
    </xf>
    <xf numFmtId="166" fontId="254" fillId="6" borderId="0" xfId="0" applyNumberFormat="1" applyFont="1" applyFill="1" applyBorder="1" applyAlignment="1">
      <alignment horizontal="center" vertical="center"/>
    </xf>
    <xf numFmtId="166" fontId="263" fillId="50" borderId="0" xfId="0" applyNumberFormat="1" applyFont="1" applyFill="1" applyAlignment="1">
      <alignment horizontal="center" vertical="center" wrapText="1"/>
    </xf>
    <xf numFmtId="0" fontId="254" fillId="2" borderId="20" xfId="0" applyFont="1" applyFill="1" applyBorder="1" applyAlignment="1">
      <alignment horizontal="center" vertical="center" wrapText="1"/>
    </xf>
    <xf numFmtId="0" fontId="254" fillId="2" borderId="21" xfId="0" applyFont="1" applyFill="1" applyBorder="1" applyAlignment="1">
      <alignment horizontal="center" vertical="center" wrapText="1"/>
    </xf>
    <xf numFmtId="0" fontId="92" fillId="8" borderId="25" xfId="0" applyFont="1" applyFill="1" applyBorder="1" applyAlignment="1">
      <alignment horizontal="center" vertical="center"/>
    </xf>
    <xf numFmtId="0" fontId="92" fillId="8" borderId="22" xfId="0" applyFont="1" applyFill="1" applyBorder="1" applyAlignment="1">
      <alignment horizontal="center" vertical="center"/>
    </xf>
    <xf numFmtId="0" fontId="0" fillId="8" borderId="22" xfId="0" applyFill="1" applyBorder="1" applyAlignment="1">
      <alignment horizontal="center"/>
    </xf>
    <xf numFmtId="164" fontId="64" fillId="54" borderId="117" xfId="50" applyNumberFormat="1" applyFont="1" applyFill="1" applyBorder="1" applyAlignment="1">
      <alignment horizontal="center" vertical="center"/>
    </xf>
    <xf numFmtId="0" fontId="290" fillId="17" borderId="121" xfId="50" applyFont="1" applyFill="1" applyBorder="1" applyAlignment="1">
      <alignment horizontal="center" vertical="center"/>
    </xf>
    <xf numFmtId="0" fontId="177" fillId="54" borderId="10" xfId="50" applyFont="1" applyFill="1" applyBorder="1" applyAlignment="1">
      <alignment horizontal="center" vertical="center"/>
    </xf>
    <xf numFmtId="0" fontId="177" fillId="54" borderId="11" xfId="50" applyFont="1" applyFill="1" applyBorder="1" applyAlignment="1">
      <alignment horizontal="center" vertical="center"/>
    </xf>
    <xf numFmtId="0" fontId="177" fillId="54" borderId="122" xfId="50" applyFont="1" applyFill="1" applyBorder="1" applyAlignment="1">
      <alignment horizontal="center" vertical="center"/>
    </xf>
    <xf numFmtId="166" fontId="51" fillId="54" borderId="48" xfId="50" applyNumberFormat="1" applyFont="1" applyFill="1" applyBorder="1" applyAlignment="1">
      <alignment horizontal="center" vertical="center"/>
    </xf>
    <xf numFmtId="0" fontId="64" fillId="57" borderId="0" xfId="0" applyFont="1" applyFill="1" applyBorder="1" applyAlignment="1">
      <alignment horizontal="center" vertical="center"/>
    </xf>
    <xf numFmtId="0" fontId="177" fillId="53" borderId="123" xfId="50" applyFont="1" applyFill="1" applyBorder="1" applyAlignment="1">
      <alignment horizontal="center" vertical="center"/>
    </xf>
    <xf numFmtId="0" fontId="64" fillId="57" borderId="125" xfId="0" applyFont="1" applyFill="1" applyBorder="1" applyAlignment="1">
      <alignment horizontal="center" vertical="center"/>
    </xf>
    <xf numFmtId="0" fontId="177" fillId="53" borderId="132" xfId="50" applyFont="1" applyFill="1" applyBorder="1" applyAlignment="1">
      <alignment horizontal="center" vertical="center"/>
    </xf>
    <xf numFmtId="0" fontId="64" fillId="55" borderId="144" xfId="50" applyFont="1" applyFill="1" applyBorder="1" applyAlignment="1">
      <alignment horizontal="right" vertical="center"/>
    </xf>
    <xf numFmtId="164" fontId="259" fillId="17" borderId="121" xfId="50" applyNumberFormat="1" applyFont="1" applyFill="1" applyBorder="1" applyAlignment="1">
      <alignment horizontal="center" vertical="center"/>
    </xf>
    <xf numFmtId="0" fontId="43" fillId="0" borderId="0" xfId="50" applyFont="1"/>
    <xf numFmtId="0" fontId="0" fillId="0" borderId="0" xfId="0" applyAlignment="1">
      <alignment vertical="center"/>
    </xf>
    <xf numFmtId="0" fontId="79" fillId="2" borderId="27" xfId="0" applyFont="1" applyFill="1" applyBorder="1" applyAlignment="1">
      <alignment horizontal="center" vertical="center"/>
    </xf>
    <xf numFmtId="0" fontId="177" fillId="8" borderId="366" xfId="50" applyFont="1" applyFill="1" applyBorder="1" applyAlignment="1">
      <alignment horizontal="center" vertical="center"/>
    </xf>
    <xf numFmtId="0" fontId="64" fillId="55" borderId="22" xfId="50" applyFont="1" applyFill="1" applyBorder="1" applyAlignment="1">
      <alignment horizontal="right" vertical="center"/>
    </xf>
    <xf numFmtId="166" fontId="258" fillId="12" borderId="89" xfId="50" applyNumberFormat="1" applyFont="1" applyFill="1" applyBorder="1" applyAlignment="1">
      <alignment horizontal="center" vertical="center"/>
    </xf>
    <xf numFmtId="164" fontId="64" fillId="54" borderId="129" xfId="50" applyNumberFormat="1" applyFont="1" applyFill="1" applyBorder="1" applyAlignment="1">
      <alignment horizontal="center" vertical="center"/>
    </xf>
    <xf numFmtId="164" fontId="64" fillId="54" borderId="130" xfId="50" applyNumberFormat="1" applyFont="1" applyFill="1" applyBorder="1" applyAlignment="1">
      <alignment horizontal="center" vertical="center"/>
    </xf>
    <xf numFmtId="0" fontId="290" fillId="17" borderId="48" xfId="50" applyFont="1" applyFill="1" applyBorder="1" applyAlignment="1">
      <alignment horizontal="center" vertical="center"/>
    </xf>
    <xf numFmtId="9" fontId="91" fillId="13" borderId="11" xfId="50" applyNumberFormat="1" applyFont="1" applyFill="1" applyBorder="1" applyAlignment="1">
      <alignment horizontal="center" vertical="center"/>
    </xf>
    <xf numFmtId="0" fontId="267" fillId="12" borderId="49" xfId="0" applyNumberFormat="1" applyFont="1" applyFill="1" applyBorder="1" applyAlignment="1">
      <alignment horizontal="left" vertical="center"/>
    </xf>
    <xf numFmtId="178" fontId="200" fillId="12" borderId="47" xfId="50" applyNumberFormat="1" applyFont="1" applyFill="1" applyBorder="1" applyAlignment="1">
      <alignment horizontal="center" vertical="center"/>
    </xf>
    <xf numFmtId="164" fontId="259" fillId="17" borderId="48" xfId="50" applyNumberFormat="1" applyFont="1" applyFill="1" applyBorder="1" applyAlignment="1">
      <alignment horizontal="center" vertical="center"/>
    </xf>
    <xf numFmtId="0" fontId="149" fillId="2" borderId="29" xfId="0" applyFont="1" applyFill="1" applyBorder="1" applyAlignment="1">
      <alignment horizontal="right" vertical="center"/>
    </xf>
    <xf numFmtId="0" fontId="130" fillId="2" borderId="29" xfId="0" applyFont="1" applyFill="1" applyBorder="1" applyAlignment="1">
      <alignment horizontal="right" vertical="center"/>
    </xf>
    <xf numFmtId="1" fontId="197" fillId="2" borderId="151" xfId="0" applyNumberFormat="1" applyFont="1" applyFill="1" applyBorder="1" applyAlignment="1">
      <alignment horizontal="center" vertical="center"/>
    </xf>
    <xf numFmtId="1" fontId="149" fillId="2" borderId="152" xfId="0" applyNumberFormat="1" applyFont="1" applyFill="1" applyBorder="1" applyAlignment="1">
      <alignment horizontal="center" vertical="center"/>
    </xf>
    <xf numFmtId="0" fontId="197" fillId="2" borderId="151" xfId="0" applyFont="1" applyFill="1" applyBorder="1" applyAlignment="1">
      <alignment horizontal="center" vertical="center"/>
    </xf>
    <xf numFmtId="1" fontId="197" fillId="2" borderId="152" xfId="0" applyNumberFormat="1" applyFont="1" applyFill="1" applyBorder="1" applyAlignment="1">
      <alignment horizontal="center" vertical="center"/>
    </xf>
    <xf numFmtId="2" fontId="207" fillId="2" borderId="85" xfId="0" applyNumberFormat="1" applyFont="1" applyFill="1" applyBorder="1" applyAlignment="1">
      <alignment horizontal="center" vertical="top"/>
    </xf>
    <xf numFmtId="2" fontId="207" fillId="2" borderId="99" xfId="0" applyNumberFormat="1" applyFont="1" applyFill="1" applyBorder="1" applyAlignment="1">
      <alignment horizontal="center" vertical="top"/>
    </xf>
    <xf numFmtId="3" fontId="406" fillId="12" borderId="350" xfId="0" applyNumberFormat="1" applyFont="1" applyFill="1" applyBorder="1" applyAlignment="1">
      <alignment horizontal="center"/>
    </xf>
    <xf numFmtId="3" fontId="406" fillId="12" borderId="351" xfId="0" applyNumberFormat="1" applyFont="1" applyFill="1" applyBorder="1" applyAlignment="1">
      <alignment horizontal="center"/>
    </xf>
    <xf numFmtId="3" fontId="406" fillId="12" borderId="353" xfId="0" applyNumberFormat="1" applyFont="1" applyFill="1" applyBorder="1" applyAlignment="1">
      <alignment horizontal="center"/>
    </xf>
    <xf numFmtId="3" fontId="406" fillId="12" borderId="354" xfId="0" applyNumberFormat="1" applyFont="1" applyFill="1" applyBorder="1" applyAlignment="1">
      <alignment horizontal="center"/>
    </xf>
    <xf numFmtId="3" fontId="52" fillId="0" borderId="352" xfId="0" quotePrefix="1" applyNumberFormat="1" applyFont="1" applyBorder="1"/>
    <xf numFmtId="3" fontId="407" fillId="12" borderId="353" xfId="0" applyNumberFormat="1" applyFont="1" applyFill="1" applyBorder="1" applyAlignment="1">
      <alignment horizontal="center"/>
    </xf>
    <xf numFmtId="3" fontId="407" fillId="12" borderId="354" xfId="0" applyNumberFormat="1" applyFont="1" applyFill="1" applyBorder="1" applyAlignment="1">
      <alignment horizontal="center"/>
    </xf>
    <xf numFmtId="0" fontId="92" fillId="8" borderId="17" xfId="0" applyFont="1" applyFill="1" applyBorder="1" applyAlignment="1">
      <alignment horizontal="center" vertical="center"/>
    </xf>
    <xf numFmtId="3" fontId="52" fillId="0" borderId="367" xfId="0" applyNumberFormat="1" applyFont="1" applyBorder="1"/>
    <xf numFmtId="3" fontId="406" fillId="12" borderId="368" xfId="0" applyNumberFormat="1" applyFont="1" applyFill="1" applyBorder="1" applyAlignment="1">
      <alignment horizontal="center"/>
    </xf>
    <xf numFmtId="3" fontId="406" fillId="12" borderId="356" xfId="0" applyNumberFormat="1" applyFont="1" applyFill="1" applyBorder="1" applyAlignment="1">
      <alignment horizontal="center"/>
    </xf>
    <xf numFmtId="3" fontId="407" fillId="12" borderId="368" xfId="0" applyNumberFormat="1" applyFont="1" applyFill="1" applyBorder="1" applyAlignment="1">
      <alignment horizontal="center"/>
    </xf>
    <xf numFmtId="3" fontId="407" fillId="12" borderId="369" xfId="0" applyNumberFormat="1" applyFont="1" applyFill="1" applyBorder="1" applyAlignment="1">
      <alignment horizontal="center"/>
    </xf>
    <xf numFmtId="0" fontId="2" fillId="0" borderId="370" xfId="0" applyFont="1" applyBorder="1" applyAlignment="1">
      <alignment horizontal="center" vertical="center"/>
    </xf>
    <xf numFmtId="1" fontId="148" fillId="6" borderId="370" xfId="0" applyNumberFormat="1" applyFont="1" applyFill="1" applyBorder="1"/>
    <xf numFmtId="1" fontId="162" fillId="18" borderId="371" xfId="0" applyNumberFormat="1" applyFont="1" applyFill="1" applyBorder="1" applyAlignment="1">
      <alignment horizontal="center" vertical="center"/>
    </xf>
    <xf numFmtId="0" fontId="379" fillId="18" borderId="372" xfId="0" applyFont="1" applyFill="1" applyBorder="1" applyAlignment="1">
      <alignment horizontal="right" vertical="center"/>
    </xf>
    <xf numFmtId="0" fontId="408" fillId="18" borderId="372" xfId="0" applyFont="1" applyFill="1" applyBorder="1" applyAlignment="1">
      <alignment horizontal="right" vertical="center"/>
    </xf>
    <xf numFmtId="0" fontId="409" fillId="18" borderId="372" xfId="0" applyFont="1" applyFill="1" applyBorder="1" applyAlignment="1">
      <alignment horizontal="right" vertical="center"/>
    </xf>
    <xf numFmtId="10" fontId="409" fillId="18" borderId="372" xfId="0" applyNumberFormat="1" applyFont="1" applyFill="1" applyBorder="1" applyAlignment="1">
      <alignment horizontal="center" vertical="center"/>
    </xf>
    <xf numFmtId="3" fontId="350" fillId="6" borderId="372" xfId="0" applyNumberFormat="1" applyFont="1" applyFill="1" applyBorder="1" applyAlignment="1">
      <alignment horizontal="center" vertical="center"/>
    </xf>
    <xf numFmtId="1" fontId="350" fillId="6" borderId="372" xfId="0" applyNumberFormat="1" applyFont="1" applyFill="1" applyBorder="1"/>
    <xf numFmtId="1" fontId="409" fillId="18" borderId="372" xfId="0" applyNumberFormat="1" applyFont="1" applyFill="1" applyBorder="1" applyAlignment="1">
      <alignment horizontal="center" vertical="center"/>
    </xf>
    <xf numFmtId="0" fontId="3" fillId="0" borderId="0" xfId="0" applyFont="1" applyAlignment="1">
      <alignment horizontal="center"/>
    </xf>
    <xf numFmtId="0" fontId="82" fillId="0" borderId="0" xfId="0" applyFont="1" applyAlignment="1">
      <alignment horizontal="center"/>
    </xf>
    <xf numFmtId="0" fontId="198" fillId="0" borderId="0" xfId="0" applyFont="1" applyAlignment="1">
      <alignment horizontal="center"/>
    </xf>
    <xf numFmtId="3" fontId="223" fillId="8" borderId="22" xfId="0" applyNumberFormat="1" applyFont="1" applyFill="1" applyBorder="1" applyAlignment="1">
      <alignment horizontal="center" vertical="center"/>
    </xf>
    <xf numFmtId="9" fontId="410" fillId="12" borderId="273" xfId="67" applyFont="1" applyFill="1" applyBorder="1" applyAlignment="1">
      <alignment horizontal="center" vertical="center"/>
    </xf>
    <xf numFmtId="0" fontId="0" fillId="0" borderId="23" xfId="0" applyFill="1" applyBorder="1"/>
    <xf numFmtId="0" fontId="412" fillId="0" borderId="0" xfId="50" applyFont="1"/>
    <xf numFmtId="0" fontId="413" fillId="0" borderId="0" xfId="50" applyFont="1" applyFill="1" applyBorder="1"/>
    <xf numFmtId="0" fontId="124" fillId="0" borderId="128" xfId="0" applyFont="1" applyBorder="1"/>
    <xf numFmtId="9" fontId="124" fillId="0" borderId="128" xfId="0" applyNumberFormat="1" applyFont="1" applyBorder="1"/>
    <xf numFmtId="0" fontId="124" fillId="0" borderId="48" xfId="0" applyFont="1" applyBorder="1"/>
    <xf numFmtId="9" fontId="124" fillId="0" borderId="48" xfId="0" applyNumberFormat="1" applyFont="1" applyBorder="1"/>
    <xf numFmtId="0" fontId="412" fillId="0" borderId="48" xfId="50" applyFont="1" applyBorder="1"/>
    <xf numFmtId="0" fontId="43" fillId="0" borderId="48" xfId="50" applyBorder="1"/>
    <xf numFmtId="9" fontId="413" fillId="0" borderId="48" xfId="50" applyNumberFormat="1" applyFont="1" applyFill="1" applyBorder="1"/>
    <xf numFmtId="0" fontId="217" fillId="2" borderId="26" xfId="50" applyFont="1" applyFill="1" applyBorder="1"/>
    <xf numFmtId="0" fontId="158" fillId="2" borderId="26" xfId="50" applyFont="1" applyFill="1" applyBorder="1"/>
    <xf numFmtId="0" fontId="150" fillId="0" borderId="0" xfId="0" applyFont="1" applyAlignment="1">
      <alignment vertical="center"/>
    </xf>
    <xf numFmtId="0" fontId="150" fillId="0" borderId="0" xfId="0" applyFont="1" applyBorder="1" applyAlignment="1">
      <alignment vertical="center"/>
    </xf>
    <xf numFmtId="3" fontId="150" fillId="0" borderId="0" xfId="0" applyNumberFormat="1" applyFont="1" applyAlignment="1">
      <alignment horizontal="left" vertical="center"/>
    </xf>
    <xf numFmtId="0" fontId="414" fillId="0" borderId="0" xfId="0" applyFont="1" applyFill="1" applyAlignment="1">
      <alignment horizontal="right"/>
    </xf>
    <xf numFmtId="0" fontId="151" fillId="0" borderId="0" xfId="0" applyFont="1" applyBorder="1" applyAlignment="1">
      <alignment horizontal="left"/>
    </xf>
    <xf numFmtId="0" fontId="150" fillId="0" borderId="0" xfId="0" applyFont="1"/>
    <xf numFmtId="0" fontId="273" fillId="0" borderId="0" xfId="0" applyFont="1" applyAlignment="1">
      <alignment horizontal="left" vertical="center"/>
    </xf>
    <xf numFmtId="0" fontId="150" fillId="0" borderId="0" xfId="0" applyFont="1" applyBorder="1" applyAlignment="1">
      <alignment horizontal="right"/>
    </xf>
    <xf numFmtId="169" fontId="150" fillId="0" borderId="0" xfId="0" applyNumberFormat="1" applyFont="1" applyBorder="1" applyAlignment="1">
      <alignment horizontal="left"/>
    </xf>
    <xf numFmtId="0" fontId="415" fillId="0" borderId="0" xfId="0" applyFont="1" applyBorder="1" applyAlignment="1">
      <alignment horizontal="right"/>
    </xf>
    <xf numFmtId="49" fontId="150" fillId="0" borderId="0" xfId="0" applyNumberFormat="1" applyFont="1" applyAlignment="1">
      <alignment vertical="center"/>
    </xf>
    <xf numFmtId="0" fontId="92" fillId="0" borderId="0" xfId="0" applyFont="1" applyAlignment="1">
      <alignment horizontal="right"/>
    </xf>
    <xf numFmtId="0" fontId="92" fillId="0" borderId="0" xfId="0" applyFont="1" applyAlignment="1">
      <alignment horizontal="right" vertical="center"/>
    </xf>
    <xf numFmtId="0" fontId="155" fillId="0" borderId="0" xfId="0" applyFont="1" applyAlignment="1">
      <alignment horizontal="left" vertical="center"/>
    </xf>
    <xf numFmtId="0" fontId="344" fillId="0" borderId="0" xfId="0" applyFont="1" applyAlignment="1">
      <alignment horizontal="right" vertical="center"/>
    </xf>
    <xf numFmtId="0" fontId="344" fillId="0" borderId="0" xfId="0" applyFont="1" applyFill="1" applyAlignment="1">
      <alignment vertical="center"/>
    </xf>
    <xf numFmtId="0" fontId="344" fillId="0" borderId="0" xfId="0" applyFont="1" applyBorder="1" applyAlignment="1">
      <alignment horizontal="right" vertical="center"/>
    </xf>
    <xf numFmtId="0" fontId="155" fillId="0" borderId="0" xfId="0" applyFont="1" applyBorder="1" applyAlignment="1">
      <alignment horizontal="left" vertical="center"/>
    </xf>
    <xf numFmtId="0" fontId="147" fillId="0" borderId="0" xfId="0" applyFont="1" applyAlignment="1">
      <alignment horizontal="left"/>
    </xf>
    <xf numFmtId="0" fontId="147" fillId="0" borderId="0" xfId="0" applyFont="1"/>
    <xf numFmtId="2" fontId="52" fillId="6" borderId="11" xfId="0" applyNumberFormat="1" applyFont="1" applyFill="1" applyBorder="1" applyAlignment="1">
      <alignment horizontal="right" vertical="center"/>
    </xf>
    <xf numFmtId="2" fontId="52" fillId="8" borderId="11" xfId="0" applyNumberFormat="1" applyFont="1" applyFill="1" applyBorder="1" applyAlignment="1">
      <alignment horizontal="right" vertical="center"/>
    </xf>
    <xf numFmtId="2" fontId="52" fillId="6" borderId="47" xfId="0" applyNumberFormat="1" applyFont="1" applyFill="1" applyBorder="1" applyAlignment="1">
      <alignment horizontal="right" vertical="center"/>
    </xf>
    <xf numFmtId="2" fontId="52" fillId="6" borderId="234" xfId="0" applyNumberFormat="1" applyFont="1" applyFill="1" applyBorder="1" applyAlignment="1">
      <alignment horizontal="right" vertical="center"/>
    </xf>
    <xf numFmtId="2" fontId="52" fillId="8" borderId="234" xfId="0" applyNumberFormat="1" applyFont="1" applyFill="1" applyBorder="1" applyAlignment="1">
      <alignment horizontal="right" vertical="center"/>
    </xf>
    <xf numFmtId="2" fontId="52" fillId="6" borderId="305" xfId="0" applyNumberFormat="1" applyFont="1" applyFill="1" applyBorder="1" applyAlignment="1">
      <alignment horizontal="right" vertical="center"/>
    </xf>
    <xf numFmtId="2" fontId="52" fillId="6" borderId="49" xfId="0" applyNumberFormat="1" applyFont="1" applyFill="1" applyBorder="1" applyAlignment="1">
      <alignment horizontal="right" vertical="center"/>
    </xf>
    <xf numFmtId="2" fontId="52" fillId="6" borderId="30" xfId="0" applyNumberFormat="1" applyFont="1" applyFill="1" applyBorder="1" applyAlignment="1">
      <alignment horizontal="right" vertical="center"/>
    </xf>
    <xf numFmtId="2" fontId="52" fillId="6" borderId="168" xfId="0" applyNumberFormat="1" applyFont="1" applyFill="1" applyBorder="1" applyAlignment="1">
      <alignment horizontal="right" vertical="center"/>
    </xf>
    <xf numFmtId="2" fontId="52" fillId="8" borderId="168" xfId="0" applyNumberFormat="1" applyFont="1" applyFill="1" applyBorder="1" applyAlignment="1">
      <alignment horizontal="right" vertical="center"/>
    </xf>
    <xf numFmtId="2" fontId="52" fillId="6" borderId="86" xfId="0" applyNumberFormat="1" applyFont="1" applyFill="1" applyBorder="1" applyAlignment="1">
      <alignment horizontal="right" vertical="center"/>
    </xf>
    <xf numFmtId="2" fontId="52" fillId="8" borderId="86" xfId="0" applyNumberFormat="1" applyFont="1" applyFill="1" applyBorder="1" applyAlignment="1">
      <alignment horizontal="right" vertical="center"/>
    </xf>
    <xf numFmtId="2" fontId="52" fillId="6" borderId="24" xfId="0" applyNumberFormat="1" applyFont="1" applyFill="1" applyBorder="1" applyAlignment="1">
      <alignment horizontal="right" vertical="center"/>
    </xf>
    <xf numFmtId="2" fontId="52" fillId="6" borderId="133" xfId="0" applyNumberFormat="1" applyFont="1" applyFill="1" applyBorder="1" applyAlignment="1">
      <alignment horizontal="right" vertical="center"/>
    </xf>
    <xf numFmtId="2" fontId="52" fillId="8" borderId="133" xfId="0" applyNumberFormat="1" applyFont="1" applyFill="1" applyBorder="1" applyAlignment="1">
      <alignment horizontal="right" vertical="center"/>
    </xf>
    <xf numFmtId="2" fontId="70" fillId="12" borderId="22" xfId="0" applyNumberFormat="1" applyFont="1" applyFill="1" applyBorder="1" applyAlignment="1">
      <alignment horizontal="center" vertical="center"/>
    </xf>
    <xf numFmtId="0" fontId="0" fillId="0" borderId="0" xfId="0" applyBorder="1" applyAlignment="1">
      <alignment horizontal="center" vertical="center" wrapText="1"/>
    </xf>
    <xf numFmtId="0" fontId="51" fillId="0" borderId="102" xfId="0" applyFont="1" applyBorder="1" applyAlignment="1">
      <alignment horizontal="center" vertical="center" wrapText="1"/>
    </xf>
    <xf numFmtId="0" fontId="137" fillId="0" borderId="374" xfId="0" applyFont="1" applyFill="1" applyBorder="1" applyAlignment="1">
      <alignment horizontal="center" vertical="top" wrapText="1"/>
    </xf>
    <xf numFmtId="0" fontId="70" fillId="7" borderId="190" xfId="0" applyFont="1" applyFill="1" applyBorder="1" applyAlignment="1">
      <alignment horizontal="center" vertical="center"/>
    </xf>
    <xf numFmtId="0" fontId="198" fillId="18" borderId="190" xfId="0" applyFont="1" applyFill="1" applyBorder="1" applyAlignment="1">
      <alignment horizontal="center" vertical="center"/>
    </xf>
    <xf numFmtId="0" fontId="70" fillId="8" borderId="190" xfId="0" applyFont="1" applyFill="1" applyBorder="1" applyAlignment="1">
      <alignment horizontal="center" vertical="center"/>
    </xf>
    <xf numFmtId="166" fontId="92" fillId="0" borderId="0" xfId="0" applyNumberFormat="1" applyFont="1" applyFill="1" applyBorder="1" applyAlignment="1">
      <alignment horizontal="center" vertical="center"/>
    </xf>
    <xf numFmtId="0" fontId="87" fillId="0" borderId="0" xfId="0" applyFont="1" applyFill="1" applyAlignment="1"/>
    <xf numFmtId="0" fontId="0" fillId="0" borderId="0" xfId="0" applyFill="1" applyAlignment="1"/>
    <xf numFmtId="0" fontId="0" fillId="2" borderId="152" xfId="0" applyFill="1" applyBorder="1"/>
    <xf numFmtId="0" fontId="0" fillId="2" borderId="139" xfId="0" applyFill="1" applyBorder="1"/>
    <xf numFmtId="0" fontId="0" fillId="2" borderId="140" xfId="0" applyFill="1" applyBorder="1"/>
    <xf numFmtId="0" fontId="0" fillId="2" borderId="173" xfId="0" applyFill="1" applyBorder="1"/>
    <xf numFmtId="0" fontId="0" fillId="2" borderId="377" xfId="0" applyFill="1" applyBorder="1"/>
    <xf numFmtId="0" fontId="59" fillId="2" borderId="139" xfId="0" applyFont="1" applyFill="1" applyBorder="1"/>
    <xf numFmtId="0" fontId="59" fillId="2" borderId="140" xfId="0" applyFont="1" applyFill="1" applyBorder="1"/>
    <xf numFmtId="0" fontId="0" fillId="2" borderId="143" xfId="0" applyFill="1" applyBorder="1"/>
    <xf numFmtId="0" fontId="0" fillId="2" borderId="29" xfId="0" applyFill="1" applyBorder="1"/>
    <xf numFmtId="175" fontId="411" fillId="2" borderId="377" xfId="0" applyNumberFormat="1" applyFont="1" applyFill="1" applyBorder="1" applyAlignment="1">
      <alignment horizontal="center" vertical="center"/>
    </xf>
    <xf numFmtId="0" fontId="79" fillId="2" borderId="27" xfId="0" applyFont="1" applyFill="1" applyBorder="1" applyAlignment="1">
      <alignment vertical="center"/>
    </xf>
    <xf numFmtId="0" fontId="52" fillId="0" borderId="23" xfId="0" applyFont="1" applyBorder="1"/>
    <xf numFmtId="0" fontId="52" fillId="0" borderId="0" xfId="0" applyFont="1" applyBorder="1"/>
    <xf numFmtId="0" fontId="52" fillId="0" borderId="0" xfId="0" applyFont="1" applyBorder="1" applyAlignment="1">
      <alignment horizontal="center"/>
    </xf>
    <xf numFmtId="1" fontId="52" fillId="0" borderId="24" xfId="0" applyNumberFormat="1" applyFont="1" applyBorder="1" applyAlignment="1">
      <alignment horizontal="center"/>
    </xf>
    <xf numFmtId="10" fontId="52" fillId="15" borderId="350" xfId="0" applyNumberFormat="1" applyFont="1" applyFill="1" applyBorder="1" applyAlignment="1">
      <alignment horizontal="center" vertical="center"/>
    </xf>
    <xf numFmtId="10" fontId="52" fillId="15" borderId="353" xfId="0" applyNumberFormat="1" applyFont="1" applyFill="1" applyBorder="1" applyAlignment="1">
      <alignment horizontal="center" vertical="center"/>
    </xf>
    <xf numFmtId="10" fontId="52" fillId="15" borderId="361" xfId="0" applyNumberFormat="1" applyFont="1" applyFill="1" applyBorder="1" applyAlignment="1">
      <alignment horizontal="center" vertical="center"/>
    </xf>
    <xf numFmtId="0" fontId="249" fillId="2" borderId="140" xfId="0" applyFont="1" applyFill="1" applyBorder="1"/>
    <xf numFmtId="0" fontId="416" fillId="2" borderId="140" xfId="0" applyFont="1" applyFill="1" applyBorder="1" applyAlignment="1">
      <alignment horizontal="center" vertical="center"/>
    </xf>
    <xf numFmtId="0" fontId="417" fillId="2" borderId="140" xfId="0" applyFont="1" applyFill="1" applyBorder="1" applyAlignment="1">
      <alignment horizontal="center" vertical="center"/>
    </xf>
    <xf numFmtId="0" fontId="418" fillId="2" borderId="140" xfId="0" applyFont="1" applyFill="1" applyBorder="1" applyAlignment="1">
      <alignment horizontal="center" vertical="center"/>
    </xf>
    <xf numFmtId="0" fontId="84" fillId="6" borderId="103" xfId="0" applyFont="1" applyFill="1" applyBorder="1" applyAlignment="1">
      <alignment horizontal="center" vertical="center" wrapText="1"/>
    </xf>
    <xf numFmtId="0" fontId="84" fillId="6" borderId="108" xfId="0" applyFont="1" applyFill="1" applyBorder="1" applyAlignment="1">
      <alignment horizontal="center" wrapText="1"/>
    </xf>
    <xf numFmtId="0" fontId="84" fillId="8" borderId="378" xfId="0" applyFont="1" applyFill="1" applyBorder="1" applyAlignment="1">
      <alignment horizontal="center" vertical="center" wrapText="1"/>
    </xf>
    <xf numFmtId="0" fontId="0" fillId="0" borderId="0" xfId="0" applyAlignment="1">
      <alignment vertical="center"/>
    </xf>
    <xf numFmtId="0" fontId="79" fillId="2" borderId="14" xfId="0" applyFont="1" applyFill="1" applyBorder="1" applyAlignment="1">
      <alignment horizontal="center" vertical="center"/>
    </xf>
    <xf numFmtId="0" fontId="79" fillId="2" borderId="23" xfId="0" applyFont="1" applyFill="1" applyBorder="1" applyAlignment="1">
      <alignment horizontal="center" vertical="center"/>
    </xf>
    <xf numFmtId="0" fontId="79" fillId="2" borderId="18" xfId="0" applyFont="1" applyFill="1" applyBorder="1" applyAlignment="1">
      <alignment horizontal="center" vertical="center"/>
    </xf>
    <xf numFmtId="174" fontId="198" fillId="2" borderId="20" xfId="0" applyNumberFormat="1" applyFont="1" applyFill="1" applyBorder="1" applyAlignment="1">
      <alignment vertical="center"/>
    </xf>
    <xf numFmtId="0" fontId="82" fillId="2" borderId="0" xfId="0" applyFont="1" applyFill="1" applyBorder="1" applyAlignment="1">
      <alignment horizontal="center" vertical="center"/>
    </xf>
    <xf numFmtId="0" fontId="87" fillId="2" borderId="17" xfId="0" applyFont="1" applyFill="1" applyBorder="1" applyAlignment="1">
      <alignment horizontal="center" vertical="center" wrapText="1"/>
    </xf>
    <xf numFmtId="0" fontId="87" fillId="2" borderId="14" xfId="0" applyFont="1" applyFill="1" applyBorder="1" applyAlignment="1">
      <alignment horizontal="center" vertical="center" wrapText="1"/>
    </xf>
    <xf numFmtId="0" fontId="87" fillId="2" borderId="86" xfId="0" applyFont="1" applyFill="1" applyBorder="1" applyAlignment="1">
      <alignment horizontal="center" vertical="center" wrapText="1"/>
    </xf>
    <xf numFmtId="0" fontId="87" fillId="2" borderId="23" xfId="0" applyFont="1" applyFill="1" applyBorder="1" applyAlignment="1">
      <alignment horizontal="center" vertical="center" wrapText="1"/>
    </xf>
    <xf numFmtId="0" fontId="87" fillId="2" borderId="21" xfId="0" applyFont="1" applyFill="1" applyBorder="1" applyAlignment="1">
      <alignment horizontal="center" vertical="center" wrapText="1"/>
    </xf>
    <xf numFmtId="0" fontId="87" fillId="2" borderId="18" xfId="0" applyFont="1" applyFill="1" applyBorder="1" applyAlignment="1">
      <alignment horizontal="center" vertical="center" wrapText="1"/>
    </xf>
    <xf numFmtId="168" fontId="198" fillId="2" borderId="158" xfId="0" applyNumberFormat="1" applyFont="1" applyFill="1" applyBorder="1" applyAlignment="1">
      <alignment horizontal="center" vertical="center"/>
    </xf>
    <xf numFmtId="168" fontId="198" fillId="2" borderId="11" xfId="0" applyNumberFormat="1" applyFont="1" applyFill="1" applyBorder="1" applyAlignment="1">
      <alignment horizontal="center" vertical="center"/>
    </xf>
    <xf numFmtId="0" fontId="198" fillId="2" borderId="0" xfId="0" applyFont="1" applyFill="1" applyBorder="1" applyAlignment="1">
      <alignment horizontal="center" vertical="center"/>
    </xf>
    <xf numFmtId="0" fontId="198" fillId="2" borderId="0" xfId="0" applyFont="1" applyFill="1"/>
    <xf numFmtId="168" fontId="198" fillId="2" borderId="133" xfId="0" applyNumberFormat="1" applyFont="1" applyFill="1" applyBorder="1" applyAlignment="1">
      <alignment horizontal="center" vertical="center"/>
    </xf>
    <xf numFmtId="0" fontId="123" fillId="0" borderId="0" xfId="0" applyFont="1"/>
    <xf numFmtId="0" fontId="253" fillId="0" borderId="48" xfId="50" applyFont="1" applyBorder="1"/>
    <xf numFmtId="0" fontId="210" fillId="0" borderId="48" xfId="50" applyFont="1" applyBorder="1"/>
    <xf numFmtId="9" fontId="210" fillId="0" borderId="48" xfId="50" applyNumberFormat="1" applyFont="1" applyFill="1" applyBorder="1"/>
    <xf numFmtId="0" fontId="0" fillId="0" borderId="0" xfId="0" applyAlignment="1">
      <alignment horizontal="center" vertical="center"/>
    </xf>
    <xf numFmtId="0" fontId="419" fillId="0" borderId="0" xfId="0" applyFont="1" applyAlignment="1">
      <alignment horizontal="center" vertical="center"/>
    </xf>
    <xf numFmtId="3" fontId="419" fillId="0" borderId="0" xfId="0" applyNumberFormat="1" applyFont="1" applyAlignment="1">
      <alignment horizontal="right" vertical="center"/>
    </xf>
    <xf numFmtId="0" fontId="419" fillId="0" borderId="48" xfId="0" applyFont="1" applyBorder="1" applyAlignment="1">
      <alignment horizontal="center" vertical="center"/>
    </xf>
    <xf numFmtId="3" fontId="419" fillId="0" borderId="0" xfId="0" applyNumberFormat="1" applyFont="1" applyAlignment="1">
      <alignment vertical="center"/>
    </xf>
    <xf numFmtId="166" fontId="150" fillId="0" borderId="60" xfId="61" applyNumberFormat="1" applyFont="1" applyBorder="1" applyAlignment="1">
      <alignment horizontal="center" vertical="center"/>
    </xf>
    <xf numFmtId="166" fontId="150" fillId="0" borderId="346" xfId="61" applyNumberFormat="1" applyFont="1" applyBorder="1" applyAlignment="1">
      <alignment horizontal="center" vertical="center"/>
    </xf>
    <xf numFmtId="166" fontId="150" fillId="0" borderId="60" xfId="61" applyNumberFormat="1" applyFont="1" applyBorder="1" applyAlignment="1">
      <alignment horizontal="center" vertical="center"/>
    </xf>
    <xf numFmtId="166" fontId="249" fillId="0" borderId="0" xfId="0" applyNumberFormat="1" applyFont="1" applyAlignment="1">
      <alignment wrapText="1"/>
    </xf>
    <xf numFmtId="166" fontId="249" fillId="0" borderId="0" xfId="0" applyNumberFormat="1" applyFont="1"/>
    <xf numFmtId="0" fontId="84" fillId="12" borderId="166" xfId="0" applyNumberFormat="1" applyFont="1" applyFill="1" applyBorder="1" applyAlignment="1">
      <alignment horizontal="center" vertical="center"/>
    </xf>
    <xf numFmtId="0" fontId="0" fillId="0" borderId="0" xfId="0" applyAlignment="1"/>
    <xf numFmtId="0" fontId="0" fillId="0" borderId="0" xfId="0" applyAlignment="1">
      <alignment vertical="top"/>
    </xf>
    <xf numFmtId="0" fontId="0" fillId="0" borderId="0" xfId="0" applyBorder="1" applyAlignment="1"/>
    <xf numFmtId="0" fontId="267" fillId="8" borderId="140" xfId="0" applyNumberFormat="1" applyFont="1" applyFill="1" applyBorder="1" applyAlignment="1">
      <alignment horizontal="left" vertical="center"/>
    </xf>
    <xf numFmtId="0" fontId="267" fillId="12" borderId="0" xfId="0" applyNumberFormat="1" applyFont="1" applyFill="1" applyBorder="1" applyAlignment="1">
      <alignment horizontal="left" vertical="center"/>
    </xf>
    <xf numFmtId="0" fontId="23" fillId="58" borderId="15" xfId="0" applyFont="1" applyFill="1" applyBorder="1" applyAlignment="1">
      <alignment vertical="center"/>
    </xf>
    <xf numFmtId="0" fontId="43" fillId="58" borderId="15" xfId="50" applyFont="1" applyFill="1" applyBorder="1" applyAlignment="1">
      <alignment vertical="top"/>
    </xf>
    <xf numFmtId="0" fontId="0" fillId="58" borderId="0" xfId="0" applyFill="1"/>
    <xf numFmtId="0" fontId="53" fillId="58" borderId="0" xfId="50" applyFont="1" applyFill="1" applyBorder="1" applyAlignment="1">
      <alignment horizontal="center" vertical="center" wrapText="1"/>
    </xf>
    <xf numFmtId="0" fontId="0" fillId="58" borderId="0" xfId="0" applyFill="1" applyBorder="1"/>
    <xf numFmtId="0" fontId="213" fillId="58" borderId="0" xfId="50" applyFont="1" applyFill="1" applyBorder="1" applyAlignment="1">
      <alignment horizontal="center" vertical="center" textRotation="90" wrapText="1"/>
    </xf>
    <xf numFmtId="0" fontId="213" fillId="58" borderId="0" xfId="50" applyFont="1" applyFill="1" applyBorder="1" applyAlignment="1">
      <alignment vertical="center" wrapText="1"/>
    </xf>
    <xf numFmtId="0" fontId="124" fillId="58" borderId="0" xfId="0" applyFont="1" applyFill="1" applyBorder="1" applyAlignment="1">
      <alignment horizontal="center" textRotation="90"/>
    </xf>
    <xf numFmtId="0" fontId="124" fillId="58" borderId="0" xfId="0" applyFont="1" applyFill="1" applyBorder="1" applyAlignment="1"/>
    <xf numFmtId="0" fontId="423" fillId="59" borderId="114" xfId="0" applyFont="1" applyFill="1" applyBorder="1" applyAlignment="1">
      <alignment horizontal="center" vertical="center"/>
    </xf>
    <xf numFmtId="0" fontId="177" fillId="54" borderId="379" xfId="50" applyFont="1" applyFill="1" applyBorder="1" applyAlignment="1">
      <alignment horizontal="center" vertical="center"/>
    </xf>
    <xf numFmtId="0" fontId="177" fillId="54" borderId="337" xfId="50" applyFont="1" applyFill="1" applyBorder="1" applyAlignment="1">
      <alignment horizontal="center" vertical="center"/>
    </xf>
    <xf numFmtId="0" fontId="177" fillId="54" borderId="380" xfId="50" applyFont="1" applyFill="1" applyBorder="1" applyAlignment="1">
      <alignment horizontal="center" vertical="center"/>
    </xf>
    <xf numFmtId="9" fontId="77" fillId="13" borderId="381" xfId="50" applyNumberFormat="1" applyFont="1" applyFill="1" applyBorder="1" applyAlignment="1">
      <alignment horizontal="center" vertical="center"/>
    </xf>
    <xf numFmtId="0" fontId="423" fillId="59" borderId="109" xfId="0" applyFont="1" applyFill="1" applyBorder="1" applyAlignment="1">
      <alignment horizontal="center" vertical="center"/>
    </xf>
    <xf numFmtId="0" fontId="51" fillId="53" borderId="384" xfId="50" applyNumberFormat="1" applyFont="1" applyFill="1" applyBorder="1" applyAlignment="1">
      <alignment horizontal="center" vertical="center"/>
    </xf>
    <xf numFmtId="0" fontId="51" fillId="53" borderId="131" xfId="50" applyNumberFormat="1" applyFont="1" applyFill="1" applyBorder="1" applyAlignment="1">
      <alignment horizontal="center" vertical="center"/>
    </xf>
    <xf numFmtId="164" fontId="51" fillId="8" borderId="366" xfId="50" applyNumberFormat="1" applyFont="1" applyFill="1" applyBorder="1" applyAlignment="1">
      <alignment horizontal="center" vertical="center"/>
    </xf>
    <xf numFmtId="164" fontId="51" fillId="8" borderId="131" xfId="50" applyNumberFormat="1" applyFont="1" applyFill="1" applyBorder="1" applyAlignment="1">
      <alignment horizontal="center" vertical="center"/>
    </xf>
    <xf numFmtId="164" fontId="51" fillId="8" borderId="136" xfId="50" applyNumberFormat="1" applyFont="1" applyFill="1" applyBorder="1" applyAlignment="1">
      <alignment horizontal="center" vertical="center"/>
    </xf>
    <xf numFmtId="0" fontId="51" fillId="56" borderId="123" xfId="50" applyNumberFormat="1" applyFont="1" applyFill="1" applyBorder="1" applyAlignment="1">
      <alignment horizontal="center" vertical="center"/>
    </xf>
    <xf numFmtId="0" fontId="51" fillId="56" borderId="132" xfId="50" applyNumberFormat="1" applyFont="1" applyFill="1" applyBorder="1" applyAlignment="1">
      <alignment horizontal="center" vertical="center"/>
    </xf>
    <xf numFmtId="0" fontId="51" fillId="9" borderId="385" xfId="50" applyNumberFormat="1" applyFont="1" applyFill="1" applyBorder="1" applyAlignment="1">
      <alignment horizontal="center" vertical="center"/>
    </xf>
    <xf numFmtId="0" fontId="51" fillId="9" borderId="132" xfId="50" applyNumberFormat="1" applyFont="1" applyFill="1" applyBorder="1" applyAlignment="1">
      <alignment horizontal="center" vertical="center"/>
    </xf>
    <xf numFmtId="0" fontId="51" fillId="9" borderId="386" xfId="50" applyNumberFormat="1" applyFont="1" applyFill="1" applyBorder="1" applyAlignment="1">
      <alignment horizontal="center" vertical="center"/>
    </xf>
    <xf numFmtId="0" fontId="51" fillId="53" borderId="387" xfId="50" applyNumberFormat="1" applyFont="1" applyFill="1" applyBorder="1" applyAlignment="1">
      <alignment horizontal="center" vertical="center"/>
    </xf>
    <xf numFmtId="0" fontId="51" fillId="53" borderId="145" xfId="50" applyNumberFormat="1" applyFont="1" applyFill="1" applyBorder="1" applyAlignment="1">
      <alignment horizontal="center" vertical="center"/>
    </xf>
    <xf numFmtId="0" fontId="51" fillId="53" borderId="300" xfId="50" applyNumberFormat="1" applyFont="1" applyFill="1" applyBorder="1" applyAlignment="1">
      <alignment horizontal="center" vertical="center"/>
    </xf>
    <xf numFmtId="0" fontId="51" fillId="53" borderId="10" xfId="50" applyNumberFormat="1" applyFont="1" applyFill="1" applyBorder="1" applyAlignment="1">
      <alignment horizontal="center" vertical="center"/>
    </xf>
    <xf numFmtId="0" fontId="51" fillId="53" borderId="11" xfId="50" applyNumberFormat="1" applyFont="1" applyFill="1" applyBorder="1" applyAlignment="1">
      <alignment horizontal="center" vertical="center"/>
    </xf>
    <xf numFmtId="0" fontId="51" fillId="53" borderId="122" xfId="50" applyNumberFormat="1" applyFont="1" applyFill="1" applyBorder="1" applyAlignment="1">
      <alignment horizontal="center" vertical="center"/>
    </xf>
    <xf numFmtId="164" fontId="51" fillId="8" borderId="7" xfId="50" applyNumberFormat="1" applyFont="1" applyFill="1" applyBorder="1" applyAlignment="1">
      <alignment horizontal="center" vertical="center"/>
    </xf>
    <xf numFmtId="164" fontId="51" fillId="8" borderId="8" xfId="50" applyNumberFormat="1" applyFont="1" applyFill="1" applyBorder="1" applyAlignment="1">
      <alignment horizontal="center" vertical="center"/>
    </xf>
    <xf numFmtId="164" fontId="51" fillId="8" borderId="9" xfId="50" applyNumberFormat="1" applyFont="1" applyFill="1" applyBorder="1" applyAlignment="1">
      <alignment horizontal="center" vertical="center"/>
    </xf>
    <xf numFmtId="164" fontId="51" fillId="8" borderId="10" xfId="50" applyNumberFormat="1" applyFont="1" applyFill="1" applyBorder="1" applyAlignment="1">
      <alignment horizontal="center" vertical="center"/>
    </xf>
    <xf numFmtId="164" fontId="51" fillId="8" borderId="11" xfId="50" applyNumberFormat="1" applyFont="1" applyFill="1" applyBorder="1" applyAlignment="1">
      <alignment horizontal="center" vertical="center"/>
    </xf>
    <xf numFmtId="164" fontId="51" fillId="8" borderId="122" xfId="50" applyNumberFormat="1" applyFont="1" applyFill="1" applyBorder="1" applyAlignment="1">
      <alignment horizontal="center" vertical="center"/>
    </xf>
    <xf numFmtId="164" fontId="51" fillId="8" borderId="137" xfId="50" applyNumberFormat="1" applyFont="1" applyFill="1" applyBorder="1" applyAlignment="1">
      <alignment horizontal="center" vertical="center"/>
    </xf>
    <xf numFmtId="164" fontId="51" fillId="8" borderId="13" xfId="50" applyNumberFormat="1" applyFont="1" applyFill="1" applyBorder="1" applyAlignment="1">
      <alignment horizontal="center" vertical="center"/>
    </xf>
    <xf numFmtId="164" fontId="51" fillId="8" borderId="138" xfId="50" applyNumberFormat="1" applyFont="1" applyFill="1" applyBorder="1" applyAlignment="1">
      <alignment horizontal="center" vertical="center"/>
    </xf>
    <xf numFmtId="0" fontId="75" fillId="0" borderId="90" xfId="50" applyFont="1" applyFill="1" applyBorder="1" applyAlignment="1">
      <alignment horizontal="center"/>
    </xf>
    <xf numFmtId="164" fontId="64" fillId="54" borderId="388" xfId="50" applyNumberFormat="1" applyFont="1" applyFill="1" applyBorder="1" applyAlignment="1">
      <alignment horizontal="center" vertical="center"/>
    </xf>
    <xf numFmtId="164" fontId="64" fillId="54" borderId="134" xfId="50" applyNumberFormat="1" applyFont="1" applyFill="1" applyBorder="1" applyAlignment="1">
      <alignment horizontal="center" vertical="center"/>
    </xf>
    <xf numFmtId="0" fontId="425" fillId="6" borderId="120" xfId="50" applyFont="1" applyFill="1" applyBorder="1" applyAlignment="1">
      <alignment horizontal="center" vertical="center" wrapText="1"/>
    </xf>
    <xf numFmtId="0" fontId="51" fillId="53" borderId="144" xfId="0" applyFont="1" applyFill="1" applyBorder="1" applyAlignment="1">
      <alignment horizontal="center" vertical="center"/>
    </xf>
    <xf numFmtId="166" fontId="258" fillId="12" borderId="389" xfId="50" applyNumberFormat="1" applyFont="1" applyFill="1" applyBorder="1" applyAlignment="1">
      <alignment horizontal="center" vertical="center"/>
    </xf>
    <xf numFmtId="0" fontId="158" fillId="2" borderId="24" xfId="50" applyFont="1" applyFill="1" applyBorder="1"/>
    <xf numFmtId="0" fontId="48" fillId="6" borderId="20" xfId="0" applyFont="1" applyFill="1" applyBorder="1" applyAlignment="1">
      <alignment horizontal="center" vertical="top" wrapText="1"/>
    </xf>
    <xf numFmtId="166" fontId="53" fillId="12" borderId="389" xfId="50" applyNumberFormat="1" applyFont="1" applyFill="1" applyBorder="1" applyAlignment="1">
      <alignment horizontal="center" vertical="center"/>
    </xf>
    <xf numFmtId="6" fontId="70" fillId="61" borderId="22" xfId="0" applyNumberFormat="1" applyFont="1" applyFill="1" applyBorder="1" applyAlignment="1">
      <alignment horizontal="center" vertical="center"/>
    </xf>
    <xf numFmtId="6" fontId="70" fillId="61" borderId="195" xfId="0" applyNumberFormat="1" applyFont="1" applyFill="1" applyBorder="1" applyAlignment="1">
      <alignment horizontal="center" vertical="center"/>
    </xf>
    <xf numFmtId="6" fontId="70" fillId="62" borderId="22" xfId="0" applyNumberFormat="1" applyFont="1" applyFill="1" applyBorder="1" applyAlignment="1">
      <alignment horizontal="center" vertical="center"/>
    </xf>
    <xf numFmtId="6" fontId="268" fillId="62" borderId="196" xfId="0" applyNumberFormat="1" applyFont="1" applyFill="1" applyBorder="1" applyAlignment="1">
      <alignment horizontal="center" vertical="center"/>
    </xf>
    <xf numFmtId="3" fontId="427" fillId="63" borderId="350" xfId="0" applyNumberFormat="1" applyFont="1" applyFill="1" applyBorder="1" applyAlignment="1">
      <alignment horizontal="center"/>
    </xf>
    <xf numFmtId="3" fontId="427" fillId="63" borderId="351" xfId="0" applyNumberFormat="1" applyFont="1" applyFill="1" applyBorder="1" applyAlignment="1">
      <alignment horizontal="center"/>
    </xf>
    <xf numFmtId="3" fontId="427" fillId="63" borderId="353" xfId="0" applyNumberFormat="1" applyFont="1" applyFill="1" applyBorder="1" applyAlignment="1">
      <alignment horizontal="center"/>
    </xf>
    <xf numFmtId="3" fontId="427" fillId="63" borderId="354" xfId="0" applyNumberFormat="1" applyFont="1" applyFill="1" applyBorder="1" applyAlignment="1">
      <alignment horizontal="center"/>
    </xf>
    <xf numFmtId="3" fontId="428" fillId="63" borderId="353" xfId="0" applyNumberFormat="1" applyFont="1" applyFill="1" applyBorder="1" applyAlignment="1">
      <alignment horizontal="center"/>
    </xf>
    <xf numFmtId="3" fontId="428" fillId="63" borderId="354" xfId="0" applyNumberFormat="1" applyFont="1" applyFill="1" applyBorder="1" applyAlignment="1">
      <alignment horizontal="center"/>
    </xf>
    <xf numFmtId="3" fontId="427" fillId="63" borderId="356" xfId="0" applyNumberFormat="1" applyFont="1" applyFill="1" applyBorder="1" applyAlignment="1">
      <alignment horizontal="center"/>
    </xf>
    <xf numFmtId="3" fontId="428" fillId="63" borderId="356" xfId="0" applyNumberFormat="1" applyFont="1" applyFill="1" applyBorder="1" applyAlignment="1">
      <alignment horizontal="center"/>
    </xf>
    <xf numFmtId="3" fontId="428" fillId="63" borderId="357" xfId="0" applyNumberFormat="1" applyFont="1" applyFill="1" applyBorder="1" applyAlignment="1">
      <alignment horizontal="center"/>
    </xf>
    <xf numFmtId="9" fontId="84" fillId="62" borderId="53" xfId="0" applyNumberFormat="1" applyFont="1" applyFill="1" applyBorder="1" applyAlignment="1">
      <alignment horizontal="center" vertical="center" wrapText="1"/>
    </xf>
    <xf numFmtId="6" fontId="152" fillId="64" borderId="143" xfId="0" applyNumberFormat="1" applyFont="1" applyFill="1" applyBorder="1" applyAlignment="1">
      <alignment horizontal="center" vertical="center"/>
    </xf>
    <xf numFmtId="0" fontId="155" fillId="0" borderId="0" xfId="0" applyFont="1"/>
    <xf numFmtId="0" fontId="51" fillId="0" borderId="35" xfId="0" applyFont="1" applyBorder="1" applyAlignment="1">
      <alignment horizontal="center" vertical="center"/>
    </xf>
    <xf numFmtId="0" fontId="0" fillId="0" borderId="36" xfId="0" applyBorder="1" applyAlignment="1">
      <alignment horizontal="center"/>
    </xf>
    <xf numFmtId="0" fontId="0" fillId="0" borderId="36" xfId="0" applyBorder="1" applyAlignment="1">
      <alignment horizontal="center" vertical="center"/>
    </xf>
    <xf numFmtId="0" fontId="153" fillId="6" borderId="14" xfId="50" applyFont="1" applyFill="1" applyBorder="1" applyAlignment="1">
      <alignment horizontal="right"/>
    </xf>
    <xf numFmtId="0" fontId="64" fillId="0" borderId="15" xfId="0" applyFont="1" applyBorder="1" applyAlignment="1"/>
    <xf numFmtId="0" fontId="64" fillId="0" borderId="16" xfId="0" applyFont="1" applyBorder="1" applyAlignment="1"/>
    <xf numFmtId="0" fontId="172" fillId="4" borderId="14" xfId="50" applyFont="1" applyFill="1" applyBorder="1" applyAlignment="1">
      <alignment horizontal="center" vertical="center" wrapText="1"/>
    </xf>
    <xf numFmtId="0" fontId="52" fillId="0" borderId="16" xfId="0" applyFont="1" applyBorder="1" applyAlignment="1"/>
    <xf numFmtId="0" fontId="52" fillId="0" borderId="23" xfId="0" applyFont="1" applyBorder="1" applyAlignment="1"/>
    <xf numFmtId="0" fontId="52" fillId="0" borderId="24" xfId="0" applyFont="1" applyBorder="1" applyAlignment="1"/>
    <xf numFmtId="0" fontId="52" fillId="0" borderId="18" xfId="0" applyFont="1" applyBorder="1" applyAlignment="1"/>
    <xf numFmtId="0" fontId="52" fillId="0" borderId="20" xfId="0" applyFont="1" applyBorder="1" applyAlignment="1"/>
    <xf numFmtId="0" fontId="51" fillId="0" borderId="31" xfId="0" applyFont="1" applyBorder="1" applyAlignment="1">
      <alignment horizontal="center" vertical="center"/>
    </xf>
    <xf numFmtId="0" fontId="0" fillId="0" borderId="32" xfId="0" applyBorder="1" applyAlignment="1">
      <alignment horizontal="center"/>
    </xf>
    <xf numFmtId="0" fontId="182" fillId="4" borderId="25" xfId="0" applyFont="1" applyFill="1" applyBorder="1" applyAlignment="1">
      <alignment horizontal="center" vertical="center" wrapText="1"/>
    </xf>
    <xf numFmtId="0" fontId="162" fillId="4" borderId="26" xfId="0" applyFont="1" applyFill="1" applyBorder="1" applyAlignment="1">
      <alignment horizontal="center" vertical="center" wrapText="1"/>
    </xf>
    <xf numFmtId="0" fontId="162" fillId="4" borderId="27" xfId="0" applyFont="1" applyFill="1" applyBorder="1" applyAlignment="1">
      <alignment horizontal="center" vertical="center" wrapText="1"/>
    </xf>
    <xf numFmtId="0" fontId="276" fillId="0" borderId="25" xfId="0" applyFont="1" applyBorder="1" applyAlignment="1">
      <alignment horizontal="center" vertical="center" wrapText="1"/>
    </xf>
    <xf numFmtId="0" fontId="276" fillId="0" borderId="26" xfId="0" applyFont="1" applyBorder="1" applyAlignment="1">
      <alignment horizontal="center" vertical="center" wrapText="1"/>
    </xf>
    <xf numFmtId="0" fontId="192" fillId="2" borderId="28" xfId="50" applyFont="1" applyFill="1" applyBorder="1" applyAlignment="1">
      <alignment horizontal="center" vertical="center"/>
    </xf>
    <xf numFmtId="0" fontId="192" fillId="2" borderId="29" xfId="50" applyFont="1" applyFill="1" applyBorder="1" applyAlignment="1">
      <alignment horizontal="center" vertical="center"/>
    </xf>
    <xf numFmtId="0" fontId="64" fillId="0" borderId="30" xfId="0" applyFont="1" applyBorder="1" applyAlignment="1"/>
    <xf numFmtId="0" fontId="83" fillId="0" borderId="17" xfId="0" applyFont="1" applyBorder="1" applyAlignment="1">
      <alignment horizontal="center" vertical="center"/>
    </xf>
    <xf numFmtId="0" fontId="83" fillId="0" borderId="21" xfId="0" applyFont="1" applyBorder="1" applyAlignment="1">
      <alignment horizontal="center" vertical="center"/>
    </xf>
    <xf numFmtId="0" fontId="199" fillId="6" borderId="14" xfId="0" applyFont="1" applyFill="1" applyBorder="1" applyAlignment="1">
      <alignment horizontal="right" vertical="center" wrapText="1"/>
    </xf>
    <xf numFmtId="0" fontId="200" fillId="6" borderId="15" xfId="0" applyFont="1" applyFill="1" applyBorder="1" applyAlignment="1">
      <alignment horizontal="right"/>
    </xf>
    <xf numFmtId="0" fontId="200" fillId="6" borderId="16" xfId="0" applyFont="1" applyFill="1" applyBorder="1" applyAlignment="1">
      <alignment horizontal="right"/>
    </xf>
    <xf numFmtId="0" fontId="200" fillId="6" borderId="18" xfId="0" applyFont="1" applyFill="1" applyBorder="1" applyAlignment="1">
      <alignment horizontal="right"/>
    </xf>
    <xf numFmtId="0" fontId="200" fillId="6" borderId="19" xfId="0" applyFont="1" applyFill="1" applyBorder="1" applyAlignment="1">
      <alignment horizontal="right"/>
    </xf>
    <xf numFmtId="0" fontId="200" fillId="6" borderId="20" xfId="0" applyFont="1" applyFill="1" applyBorder="1" applyAlignment="1">
      <alignment horizontal="right"/>
    </xf>
    <xf numFmtId="0" fontId="0" fillId="6" borderId="25" xfId="0" applyFill="1" applyBorder="1" applyAlignment="1">
      <alignment horizontal="center" vertical="center"/>
    </xf>
    <xf numFmtId="0" fontId="0" fillId="6" borderId="27" xfId="0" applyFill="1" applyBorder="1" applyAlignment="1">
      <alignment horizontal="center" vertical="center"/>
    </xf>
    <xf numFmtId="0" fontId="51" fillId="0" borderId="25" xfId="0" applyFont="1" applyBorder="1" applyAlignment="1">
      <alignment horizontal="center" vertical="center"/>
    </xf>
    <xf numFmtId="0" fontId="0" fillId="0" borderId="27" xfId="0" applyBorder="1" applyAlignment="1">
      <alignment horizontal="center"/>
    </xf>
    <xf numFmtId="0" fontId="267" fillId="0" borderId="54" xfId="0" applyFont="1" applyBorder="1" applyAlignment="1">
      <alignment horizontal="center" vertical="center" wrapText="1"/>
    </xf>
    <xf numFmtId="0" fontId="78" fillId="0" borderId="54" xfId="0" applyFont="1" applyBorder="1" applyAlignment="1">
      <alignment horizontal="center" vertical="center" wrapText="1"/>
    </xf>
    <xf numFmtId="49" fontId="64" fillId="0" borderId="37" xfId="0" applyNumberFormat="1" applyFont="1" applyBorder="1" applyAlignment="1">
      <alignment vertical="center"/>
    </xf>
    <xf numFmtId="49" fontId="0" fillId="0" borderId="38" xfId="0" applyNumberFormat="1" applyBorder="1" applyAlignment="1"/>
    <xf numFmtId="49" fontId="64" fillId="0" borderId="33" xfId="0" applyNumberFormat="1" applyFont="1" applyBorder="1" applyAlignment="1">
      <alignment vertical="center"/>
    </xf>
    <xf numFmtId="49" fontId="0" fillId="0" borderId="34" xfId="0" applyNumberFormat="1" applyBorder="1" applyAlignment="1"/>
    <xf numFmtId="0" fontId="79" fillId="2" borderId="26" xfId="0" applyFont="1" applyFill="1" applyBorder="1" applyAlignment="1">
      <alignment horizontal="left" vertical="center"/>
    </xf>
    <xf numFmtId="0" fontId="69" fillId="2" borderId="26" xfId="0" applyFont="1" applyFill="1" applyBorder="1" applyAlignment="1">
      <alignment horizontal="left" vertical="center"/>
    </xf>
    <xf numFmtId="0" fontId="64" fillId="0" borderId="27" xfId="0" applyFont="1" applyBorder="1" applyAlignment="1">
      <alignment horizontal="left" vertical="center"/>
    </xf>
    <xf numFmtId="0" fontId="37" fillId="0" borderId="26" xfId="0" applyFont="1" applyBorder="1" applyAlignment="1">
      <alignment horizontal="center" vertical="center"/>
    </xf>
    <xf numFmtId="0" fontId="275" fillId="0" borderId="35" xfId="0" applyFont="1" applyBorder="1" applyAlignment="1">
      <alignment horizontal="center" vertical="center"/>
    </xf>
    <xf numFmtId="0" fontId="51" fillId="0" borderId="22" xfId="0" applyFont="1" applyBorder="1" applyAlignment="1">
      <alignment horizontal="center" vertical="center"/>
    </xf>
    <xf numFmtId="0" fontId="0" fillId="0" borderId="22" xfId="0" applyBorder="1" applyAlignment="1">
      <alignment horizontal="center"/>
    </xf>
    <xf numFmtId="0" fontId="53" fillId="6" borderId="47" xfId="0" applyFont="1" applyFill="1" applyBorder="1" applyAlignment="1">
      <alignment horizontal="right" vertical="center" wrapText="1"/>
    </xf>
    <xf numFmtId="0" fontId="52" fillId="6" borderId="48" xfId="0" applyFont="1" applyFill="1" applyBorder="1" applyAlignment="1">
      <alignment horizontal="right"/>
    </xf>
    <xf numFmtId="0" fontId="52" fillId="6" borderId="49" xfId="0" applyFont="1" applyFill="1" applyBorder="1" applyAlignment="1">
      <alignment horizontal="right"/>
    </xf>
    <xf numFmtId="0" fontId="275" fillId="0" borderId="40" xfId="0" applyFont="1" applyBorder="1" applyAlignment="1">
      <alignment horizontal="center" vertical="center"/>
    </xf>
    <xf numFmtId="0" fontId="0" fillId="0" borderId="41" xfId="0" applyBorder="1" applyAlignment="1">
      <alignment horizontal="center"/>
    </xf>
    <xf numFmtId="0" fontId="169" fillId="0" borderId="0" xfId="0" applyFont="1" applyAlignment="1">
      <alignment horizontal="center" vertical="top"/>
    </xf>
    <xf numFmtId="0" fontId="53" fillId="6" borderId="44" xfId="50" applyFont="1" applyFill="1" applyBorder="1" applyAlignment="1">
      <alignment horizontal="right" vertical="center" wrapText="1"/>
    </xf>
    <xf numFmtId="0" fontId="52" fillId="6" borderId="45" xfId="0" applyFont="1" applyFill="1" applyBorder="1" applyAlignment="1">
      <alignment horizontal="right"/>
    </xf>
    <xf numFmtId="0" fontId="52" fillId="6" borderId="46" xfId="0" applyFont="1" applyFill="1" applyBorder="1" applyAlignment="1">
      <alignment horizontal="right"/>
    </xf>
    <xf numFmtId="0" fontId="53" fillId="6" borderId="50" xfId="50" applyFont="1" applyFill="1" applyBorder="1" applyAlignment="1">
      <alignment horizontal="right" vertical="center" wrapText="1"/>
    </xf>
    <xf numFmtId="0" fontId="52" fillId="6" borderId="51" xfId="0" applyFont="1" applyFill="1" applyBorder="1" applyAlignment="1">
      <alignment horizontal="right"/>
    </xf>
    <xf numFmtId="0" fontId="52" fillId="6" borderId="52" xfId="0" applyFont="1" applyFill="1" applyBorder="1" applyAlignment="1">
      <alignment horizontal="right"/>
    </xf>
    <xf numFmtId="0" fontId="182" fillId="4" borderId="25" xfId="0" applyFont="1" applyFill="1" applyBorder="1" applyAlignment="1">
      <alignment horizontal="right" vertical="center"/>
    </xf>
    <xf numFmtId="0" fontId="197" fillId="4" borderId="26" xfId="0" applyFont="1" applyFill="1" applyBorder="1" applyAlignment="1">
      <alignment horizontal="right"/>
    </xf>
    <xf numFmtId="0" fontId="197" fillId="4" borderId="27" xfId="0" applyFont="1" applyFill="1" applyBorder="1" applyAlignment="1">
      <alignment horizontal="right"/>
    </xf>
    <xf numFmtId="0" fontId="130" fillId="2" borderId="53" xfId="0" applyFont="1" applyFill="1" applyBorder="1" applyAlignment="1">
      <alignment vertical="center" wrapText="1"/>
    </xf>
    <xf numFmtId="0" fontId="130" fillId="2" borderId="53" xfId="0" applyFont="1" applyFill="1" applyBorder="1" applyAlignment="1">
      <alignment wrapText="1"/>
    </xf>
    <xf numFmtId="0" fontId="152" fillId="2" borderId="0" xfId="0" applyFont="1" applyFill="1" applyAlignment="1">
      <alignment vertical="center"/>
    </xf>
    <xf numFmtId="0" fontId="150" fillId="0" borderId="0" xfId="0" applyFont="1" applyAlignment="1">
      <alignment vertical="center"/>
    </xf>
    <xf numFmtId="0" fontId="150" fillId="0" borderId="0" xfId="0" applyFont="1" applyBorder="1" applyAlignment="1">
      <alignment vertical="center"/>
    </xf>
    <xf numFmtId="0" fontId="344" fillId="0" borderId="0" xfId="0" applyFont="1" applyBorder="1" applyAlignment="1">
      <alignment horizontal="center" vertical="center"/>
    </xf>
    <xf numFmtId="0" fontId="344" fillId="0" borderId="0" xfId="0" applyFont="1" applyAlignment="1">
      <alignment horizontal="center" vertical="center"/>
    </xf>
    <xf numFmtId="0" fontId="235" fillId="0" borderId="0" xfId="0" applyFont="1" applyAlignment="1"/>
    <xf numFmtId="0" fontId="147" fillId="0" borderId="0" xfId="0" applyFont="1" applyAlignment="1"/>
    <xf numFmtId="0" fontId="147" fillId="0" borderId="0" xfId="0" applyNumberFormat="1" applyFont="1" applyAlignment="1"/>
    <xf numFmtId="0" fontId="213" fillId="0" borderId="0" xfId="0" applyFont="1" applyAlignment="1">
      <alignment wrapText="1"/>
    </xf>
    <xf numFmtId="0" fontId="124" fillId="0" borderId="0" xfId="0" applyFont="1" applyAlignment="1"/>
    <xf numFmtId="0" fontId="390" fillId="0" borderId="0" xfId="0" applyFont="1" applyBorder="1" applyAlignment="1">
      <alignment horizontal="right" vertical="center"/>
    </xf>
    <xf numFmtId="0" fontId="394" fillId="0" borderId="0" xfId="0" applyFont="1" applyBorder="1" applyAlignment="1">
      <alignment vertical="center"/>
    </xf>
    <xf numFmtId="0" fontId="152" fillId="2" borderId="0" xfId="0" applyFont="1" applyFill="1" applyBorder="1" applyAlignment="1">
      <alignment vertical="center"/>
    </xf>
    <xf numFmtId="0" fontId="152" fillId="2" borderId="70" xfId="0" applyFont="1" applyFill="1" applyBorder="1" applyAlignment="1">
      <alignment vertical="center"/>
    </xf>
    <xf numFmtId="0" fontId="150" fillId="0" borderId="65" xfId="0" applyFont="1" applyBorder="1" applyAlignment="1">
      <alignment horizontal="center" vertical="center"/>
    </xf>
    <xf numFmtId="0" fontId="150" fillId="0" borderId="66" xfId="0" applyFont="1" applyBorder="1" applyAlignment="1">
      <alignment horizontal="center" vertical="center"/>
    </xf>
    <xf numFmtId="0" fontId="273" fillId="0" borderId="68" xfId="0" applyFont="1" applyBorder="1" applyAlignment="1">
      <alignment horizontal="center" vertical="center" wrapText="1"/>
    </xf>
    <xf numFmtId="0" fontId="150" fillId="0" borderId="69" xfId="0" applyFont="1" applyBorder="1" applyAlignment="1">
      <alignment horizontal="center" vertical="center" wrapText="1"/>
    </xf>
    <xf numFmtId="0" fontId="150" fillId="0" borderId="61" xfId="0" applyFont="1" applyBorder="1" applyAlignment="1">
      <alignment vertical="center"/>
    </xf>
    <xf numFmtId="0" fontId="150" fillId="0" borderId="62" xfId="0" applyFont="1" applyBorder="1" applyAlignment="1">
      <alignment vertical="center"/>
    </xf>
    <xf numFmtId="0" fontId="195" fillId="0" borderId="0" xfId="0" applyFont="1" applyAlignment="1">
      <alignment horizontal="center" vertical="center" wrapText="1"/>
    </xf>
    <xf numFmtId="0" fontId="283" fillId="0" borderId="0" xfId="0" applyFont="1" applyAlignment="1">
      <alignment horizontal="center" vertical="center" wrapText="1"/>
    </xf>
    <xf numFmtId="0" fontId="195" fillId="0" borderId="0" xfId="0" applyFont="1" applyAlignment="1">
      <alignment horizontal="center"/>
    </xf>
    <xf numFmtId="0" fontId="283" fillId="0" borderId="0" xfId="0" applyFont="1" applyAlignment="1">
      <alignment horizontal="center"/>
    </xf>
    <xf numFmtId="0" fontId="283" fillId="0" borderId="0" xfId="0" applyFont="1" applyBorder="1" applyAlignment="1">
      <alignment horizontal="center"/>
    </xf>
    <xf numFmtId="0" fontId="141" fillId="0" borderId="0" xfId="0" applyFont="1" applyAlignment="1"/>
    <xf numFmtId="0" fontId="0" fillId="0" borderId="0" xfId="0" applyAlignment="1"/>
    <xf numFmtId="0" fontId="139" fillId="0" borderId="0" xfId="0" applyNumberFormat="1" applyFont="1" applyAlignment="1"/>
    <xf numFmtId="0" fontId="0" fillId="0" borderId="0" xfId="0" applyNumberFormat="1" applyAlignment="1"/>
    <xf numFmtId="0" fontId="139" fillId="0" borderId="0" xfId="0" applyFont="1" applyAlignment="1"/>
    <xf numFmtId="0" fontId="80" fillId="0" borderId="0" xfId="0" applyFont="1" applyAlignment="1">
      <alignment wrapText="1"/>
    </xf>
    <xf numFmtId="0" fontId="66" fillId="0" borderId="0" xfId="0" applyFont="1" applyAlignment="1"/>
    <xf numFmtId="0" fontId="283" fillId="0" borderId="0" xfId="0" applyFont="1" applyBorder="1" applyAlignment="1">
      <alignment horizontal="center" wrapText="1"/>
    </xf>
    <xf numFmtId="0" fontId="285" fillId="0" borderId="0" xfId="0" applyFont="1" applyFill="1" applyBorder="1" applyAlignment="1">
      <alignment horizontal="center" vertical="center"/>
    </xf>
    <xf numFmtId="0" fontId="278" fillId="0" borderId="0" xfId="0" applyFont="1" applyAlignment="1">
      <alignment horizontal="center"/>
    </xf>
    <xf numFmtId="0" fontId="284" fillId="0" borderId="0" xfId="0" applyFont="1" applyAlignment="1">
      <alignment horizontal="center"/>
    </xf>
    <xf numFmtId="0" fontId="241" fillId="0" borderId="283" xfId="0" applyFont="1" applyBorder="1" applyAlignment="1">
      <alignment horizontal="center" vertical="center" textRotation="90"/>
    </xf>
    <xf numFmtId="0" fontId="241" fillId="0" borderId="284" xfId="0" applyFont="1" applyBorder="1" applyAlignment="1">
      <alignment horizontal="center" vertical="center" textRotation="90"/>
    </xf>
    <xf numFmtId="0" fontId="241" fillId="0" borderId="285" xfId="0" applyFont="1" applyBorder="1" applyAlignment="1">
      <alignment horizontal="center" vertical="center" textRotation="90"/>
    </xf>
    <xf numFmtId="0" fontId="51" fillId="0" borderId="16" xfId="0" applyFont="1" applyBorder="1" applyAlignment="1">
      <alignment horizontal="center" vertical="center" textRotation="90"/>
    </xf>
    <xf numFmtId="0" fontId="51" fillId="0" borderId="24" xfId="0" applyFont="1" applyBorder="1" applyAlignment="1">
      <alignment horizontal="center" vertical="center" textRotation="90"/>
    </xf>
    <xf numFmtId="0" fontId="51" fillId="0" borderId="20" xfId="0" applyFont="1" applyBorder="1" applyAlignment="1">
      <alignment horizontal="center" vertical="center" textRotation="90"/>
    </xf>
    <xf numFmtId="0" fontId="59" fillId="0" borderId="0" xfId="0" applyFont="1" applyBorder="1" applyAlignment="1"/>
    <xf numFmtId="0" fontId="87" fillId="2" borderId="0" xfId="0" applyFont="1" applyFill="1" applyAlignment="1">
      <alignment horizontal="center" vertical="center"/>
    </xf>
    <xf numFmtId="0" fontId="88" fillId="2" borderId="0" xfId="0" applyFont="1" applyFill="1" applyAlignment="1">
      <alignment vertical="center"/>
    </xf>
    <xf numFmtId="0" fontId="0" fillId="0" borderId="0" xfId="0" applyAlignment="1">
      <alignment vertical="center"/>
    </xf>
    <xf numFmtId="0" fontId="295" fillId="0" borderId="0" xfId="0" applyFont="1" applyAlignment="1">
      <alignment horizontal="justify" vertical="center" wrapText="1"/>
    </xf>
    <xf numFmtId="0" fontId="0" fillId="0" borderId="0" xfId="0" applyFont="1" applyAlignment="1">
      <alignment vertical="center"/>
    </xf>
    <xf numFmtId="0" fontId="295" fillId="0" borderId="0" xfId="0" applyFont="1" applyAlignment="1">
      <alignment vertical="center" wrapText="1"/>
    </xf>
    <xf numFmtId="0" fontId="0" fillId="0" borderId="0" xfId="0" applyFont="1" applyAlignment="1">
      <alignment horizontal="justify" vertical="center" wrapText="1"/>
    </xf>
    <xf numFmtId="0" fontId="295" fillId="0" borderId="0" xfId="0" applyFont="1" applyAlignment="1">
      <alignment horizontal="left" vertical="center" wrapText="1"/>
    </xf>
    <xf numFmtId="0" fontId="0" fillId="0" borderId="0" xfId="0" applyFont="1" applyAlignment="1">
      <alignment horizontal="left" vertical="center" wrapText="1"/>
    </xf>
    <xf numFmtId="0" fontId="0" fillId="0" borderId="0" xfId="0" applyFont="1" applyAlignment="1">
      <alignment horizontal="left" vertical="center"/>
    </xf>
    <xf numFmtId="0" fontId="0" fillId="0" borderId="0" xfId="0" applyFont="1" applyAlignment="1">
      <alignment horizontal="justify" vertical="center"/>
    </xf>
    <xf numFmtId="0" fontId="295" fillId="0" borderId="0" xfId="0" applyFont="1" applyAlignment="1">
      <alignment horizontal="justify" vertical="top" wrapText="1"/>
    </xf>
    <xf numFmtId="0" fontId="0" fillId="0" borderId="0" xfId="0" applyFont="1" applyAlignment="1">
      <alignment horizontal="justify" vertical="top" wrapText="1"/>
    </xf>
    <xf numFmtId="0" fontId="0" fillId="0" borderId="0" xfId="0" applyFont="1" applyAlignment="1">
      <alignment vertical="top"/>
    </xf>
    <xf numFmtId="0" fontId="296" fillId="0" borderId="0" xfId="0" applyFont="1" applyAlignment="1">
      <alignment vertical="center"/>
    </xf>
    <xf numFmtId="0" fontId="236" fillId="0" borderId="0" xfId="0" applyFont="1" applyAlignment="1">
      <alignment horizontal="left" vertical="top"/>
    </xf>
    <xf numFmtId="0" fontId="70" fillId="0" borderId="0" xfId="0" applyFont="1" applyAlignment="1">
      <alignment horizontal="left" vertical="top"/>
    </xf>
    <xf numFmtId="0" fontId="0" fillId="0" borderId="0" xfId="0" applyFont="1" applyAlignment="1">
      <alignment horizontal="left"/>
    </xf>
    <xf numFmtId="0" fontId="51" fillId="0" borderId="0" xfId="0" applyFont="1" applyAlignment="1">
      <alignment horizontal="center" vertical="top"/>
    </xf>
    <xf numFmtId="0" fontId="64" fillId="0" borderId="0" xfId="0" applyFont="1" applyAlignment="1">
      <alignment horizontal="center" vertical="top"/>
    </xf>
    <xf numFmtId="0" fontId="64" fillId="0" borderId="0" xfId="0" applyFont="1" applyAlignment="1">
      <alignment vertical="top"/>
    </xf>
    <xf numFmtId="0" fontId="0" fillId="0" borderId="0" xfId="0" applyAlignment="1">
      <alignment vertical="top"/>
    </xf>
    <xf numFmtId="0" fontId="236" fillId="0" borderId="0" xfId="0" applyFont="1" applyAlignment="1">
      <alignment horizontal="center" vertical="center" wrapText="1"/>
    </xf>
    <xf numFmtId="0" fontId="70" fillId="0" borderId="0" xfId="0" applyFont="1" applyAlignment="1">
      <alignment horizontal="center" vertical="center"/>
    </xf>
    <xf numFmtId="0" fontId="92" fillId="0" borderId="0" xfId="0" applyFont="1" applyAlignment="1">
      <alignment vertical="center"/>
    </xf>
    <xf numFmtId="0" fontId="297" fillId="0" borderId="0" xfId="0" applyFont="1" applyAlignment="1">
      <alignment horizontal="center" vertical="center" wrapText="1"/>
    </xf>
    <xf numFmtId="0" fontId="134" fillId="0" borderId="0" xfId="0" applyFont="1" applyAlignment="1">
      <alignment horizontal="center" vertical="center"/>
    </xf>
    <xf numFmtId="0" fontId="134" fillId="0" borderId="0" xfId="0" applyFont="1" applyAlignment="1">
      <alignment horizontal="center"/>
    </xf>
    <xf numFmtId="0" fontId="295" fillId="0" borderId="0" xfId="0" applyFont="1" applyAlignment="1">
      <alignment horizontal="justify" wrapText="1"/>
    </xf>
    <xf numFmtId="0" fontId="0" fillId="0" borderId="0" xfId="0" applyFont="1" applyAlignment="1"/>
    <xf numFmtId="0" fontId="55" fillId="0" borderId="0" xfId="0" applyFont="1" applyBorder="1" applyAlignment="1">
      <alignment horizontal="center" vertical="center" wrapText="1"/>
    </xf>
    <xf numFmtId="0" fontId="55" fillId="0" borderId="0" xfId="0" applyFont="1" applyAlignment="1">
      <alignment horizontal="center" vertical="center" wrapText="1"/>
    </xf>
    <xf numFmtId="0" fontId="59" fillId="0" borderId="0" xfId="0" applyFont="1" applyAlignment="1">
      <alignment horizontal="center" vertical="center"/>
    </xf>
    <xf numFmtId="0" fontId="123" fillId="0" borderId="0" xfId="0" applyFont="1" applyAlignment="1">
      <alignment horizontal="center" vertical="center"/>
    </xf>
    <xf numFmtId="0" fontId="278" fillId="0" borderId="0" xfId="0" applyFont="1" applyAlignment="1">
      <alignment horizontal="center" vertical="center"/>
    </xf>
    <xf numFmtId="0" fontId="278" fillId="0" borderId="0" xfId="0" applyFont="1" applyAlignment="1">
      <alignment vertical="center"/>
    </xf>
    <xf numFmtId="0" fontId="32" fillId="0" borderId="0" xfId="0" applyFont="1" applyAlignment="1">
      <alignment horizontal="right" vertical="center" wrapText="1"/>
    </xf>
    <xf numFmtId="0" fontId="0" fillId="0" borderId="0" xfId="0" applyAlignment="1">
      <alignment vertical="center" wrapText="1"/>
    </xf>
    <xf numFmtId="0" fontId="0" fillId="0" borderId="0" xfId="0" applyFont="1" applyAlignment="1">
      <alignment horizontal="justify"/>
    </xf>
    <xf numFmtId="0" fontId="222" fillId="60" borderId="17" xfId="0" applyFont="1" applyFill="1" applyBorder="1" applyAlignment="1">
      <alignment horizontal="center" vertical="top" textRotation="90" wrapText="1"/>
    </xf>
    <xf numFmtId="0" fontId="222" fillId="60" borderId="86" xfId="0" applyFont="1" applyFill="1" applyBorder="1" applyAlignment="1">
      <alignment horizontal="center" vertical="top" textRotation="90" wrapText="1"/>
    </xf>
    <xf numFmtId="0" fontId="222" fillId="60" borderId="21" xfId="0" applyFont="1" applyFill="1" applyBorder="1" applyAlignment="1">
      <alignment horizontal="center" vertical="top" textRotation="90" wrapText="1"/>
    </xf>
    <xf numFmtId="164" fontId="229" fillId="12" borderId="25" xfId="0" applyNumberFormat="1" applyFont="1" applyFill="1" applyBorder="1" applyAlignment="1">
      <alignment horizontal="right" vertical="center"/>
    </xf>
    <xf numFmtId="0" fontId="333" fillId="12" borderId="26" xfId="0" applyFont="1" applyFill="1" applyBorder="1" applyAlignment="1">
      <alignment horizontal="right" vertical="center"/>
    </xf>
    <xf numFmtId="0" fontId="72" fillId="0" borderId="26" xfId="50" applyFont="1" applyBorder="1" applyAlignment="1">
      <alignment horizontal="center" vertical="top"/>
    </xf>
    <xf numFmtId="0" fontId="239" fillId="39" borderId="14" xfId="50" applyFont="1" applyFill="1" applyBorder="1" applyAlignment="1">
      <alignment horizontal="center" vertical="center" wrapText="1"/>
    </xf>
    <xf numFmtId="0" fontId="123" fillId="39" borderId="15" xfId="0" applyFont="1" applyFill="1" applyBorder="1" applyAlignment="1">
      <alignment horizontal="center" vertical="center" wrapText="1"/>
    </xf>
    <xf numFmtId="0" fontId="123" fillId="39" borderId="16" xfId="0" applyFont="1" applyFill="1" applyBorder="1" applyAlignment="1">
      <alignment horizontal="center" vertical="center" wrapText="1"/>
    </xf>
    <xf numFmtId="0" fontId="123" fillId="39" borderId="23" xfId="0" applyFont="1" applyFill="1" applyBorder="1" applyAlignment="1">
      <alignment horizontal="center" vertical="center" wrapText="1"/>
    </xf>
    <xf numFmtId="0" fontId="123" fillId="39" borderId="0" xfId="0" applyFont="1" applyFill="1" applyBorder="1" applyAlignment="1">
      <alignment horizontal="center" vertical="center" wrapText="1"/>
    </xf>
    <xf numFmtId="0" fontId="123" fillId="39" borderId="24" xfId="0" applyFont="1" applyFill="1" applyBorder="1" applyAlignment="1">
      <alignment horizontal="center" vertical="center" wrapText="1"/>
    </xf>
    <xf numFmtId="0" fontId="123" fillId="39" borderId="18" xfId="0" applyFont="1" applyFill="1" applyBorder="1" applyAlignment="1">
      <alignment horizontal="center" vertical="center" wrapText="1"/>
    </xf>
    <xf numFmtId="0" fontId="123" fillId="39" borderId="19" xfId="0" applyFont="1" applyFill="1" applyBorder="1" applyAlignment="1">
      <alignment horizontal="center" vertical="center" wrapText="1"/>
    </xf>
    <xf numFmtId="0" fontId="123" fillId="39" borderId="20" xfId="0" applyFont="1" applyFill="1" applyBorder="1" applyAlignment="1">
      <alignment horizontal="center" vertical="center" wrapText="1"/>
    </xf>
    <xf numFmtId="2" fontId="258" fillId="8" borderId="19" xfId="50" applyNumberFormat="1" applyFont="1" applyFill="1" applyBorder="1" applyAlignment="1">
      <alignment horizontal="center" vertical="center"/>
    </xf>
    <xf numFmtId="2" fontId="258" fillId="8" borderId="148" xfId="50" applyNumberFormat="1" applyFont="1" applyFill="1" applyBorder="1" applyAlignment="1">
      <alignment horizontal="center" vertical="center"/>
    </xf>
    <xf numFmtId="0" fontId="287" fillId="2" borderId="17" xfId="50" applyFont="1" applyFill="1" applyBorder="1" applyAlignment="1">
      <alignment horizontal="center" vertical="center" textRotation="90" wrapText="1"/>
    </xf>
    <xf numFmtId="0" fontId="287" fillId="2" borderId="86" xfId="0" applyFont="1" applyFill="1" applyBorder="1" applyAlignment="1">
      <alignment horizontal="center" vertical="center" textRotation="90" wrapText="1"/>
    </xf>
    <xf numFmtId="0" fontId="287" fillId="2" borderId="21" xfId="0" applyFont="1" applyFill="1" applyBorder="1" applyAlignment="1">
      <alignment horizontal="center" vertical="center" textRotation="90" wrapText="1"/>
    </xf>
    <xf numFmtId="0" fontId="239" fillId="39" borderId="15" xfId="50" applyFont="1" applyFill="1" applyBorder="1" applyAlignment="1">
      <alignment horizontal="center" vertical="center" wrapText="1"/>
    </xf>
    <xf numFmtId="0" fontId="239" fillId="39" borderId="16" xfId="50" applyFont="1" applyFill="1" applyBorder="1" applyAlignment="1">
      <alignment horizontal="center" vertical="center" wrapText="1"/>
    </xf>
    <xf numFmtId="0" fontId="239" fillId="39" borderId="23" xfId="50" applyFont="1" applyFill="1" applyBorder="1" applyAlignment="1">
      <alignment horizontal="center" vertical="center" wrapText="1"/>
    </xf>
    <xf numFmtId="0" fontId="239" fillId="39" borderId="0" xfId="50" applyFont="1" applyFill="1" applyBorder="1" applyAlignment="1">
      <alignment horizontal="center" vertical="center" wrapText="1"/>
    </xf>
    <xf numFmtId="0" fontId="239" fillId="39" borderId="24" xfId="50" applyFont="1" applyFill="1" applyBorder="1" applyAlignment="1">
      <alignment horizontal="center" vertical="center" wrapText="1"/>
    </xf>
    <xf numFmtId="0" fontId="239" fillId="39" borderId="18" xfId="50" applyFont="1" applyFill="1" applyBorder="1" applyAlignment="1">
      <alignment horizontal="center" vertical="center" wrapText="1"/>
    </xf>
    <xf numFmtId="0" fontId="239" fillId="39" borderId="19" xfId="50" applyFont="1" applyFill="1" applyBorder="1" applyAlignment="1">
      <alignment horizontal="center" vertical="center" wrapText="1"/>
    </xf>
    <xf numFmtId="0" fontId="239" fillId="39" borderId="20" xfId="50" applyFont="1" applyFill="1" applyBorder="1" applyAlignment="1">
      <alignment horizontal="center" vertical="center" wrapText="1"/>
    </xf>
    <xf numFmtId="0" fontId="287" fillId="2" borderId="23" xfId="50" applyFont="1" applyFill="1" applyBorder="1" applyAlignment="1">
      <alignment horizontal="center" vertical="center" textRotation="90" wrapText="1"/>
    </xf>
    <xf numFmtId="0" fontId="287" fillId="2" borderId="21" xfId="50" applyFont="1" applyFill="1" applyBorder="1" applyAlignment="1">
      <alignment horizontal="center" vertical="center" textRotation="90" wrapText="1"/>
    </xf>
    <xf numFmtId="2" fontId="258" fillId="53" borderId="48" xfId="50" applyNumberFormat="1" applyFont="1" applyFill="1" applyBorder="1" applyAlignment="1">
      <alignment horizontal="center" vertical="center"/>
    </xf>
    <xf numFmtId="0" fontId="258" fillId="53" borderId="48" xfId="50" applyFont="1" applyFill="1" applyBorder="1" applyAlignment="1">
      <alignment horizontal="center" vertical="center"/>
    </xf>
    <xf numFmtId="0" fontId="258" fillId="53" borderId="132" xfId="50" applyFont="1" applyFill="1" applyBorder="1" applyAlignment="1">
      <alignment horizontal="center" vertical="center"/>
    </xf>
    <xf numFmtId="0" fontId="74" fillId="0" borderId="143" xfId="50" applyFont="1" applyFill="1" applyBorder="1" applyAlignment="1">
      <alignment horizontal="center" vertical="center"/>
    </xf>
    <xf numFmtId="0" fontId="74" fillId="0" borderId="29" xfId="50" applyFont="1" applyFill="1" applyBorder="1" applyAlignment="1">
      <alignment horizontal="center" vertical="center"/>
    </xf>
    <xf numFmtId="0" fontId="74" fillId="0" borderId="109" xfId="50" applyFont="1" applyFill="1" applyBorder="1" applyAlignment="1">
      <alignment horizontal="center" vertical="center"/>
    </xf>
    <xf numFmtId="164" fontId="123" fillId="12" borderId="146" xfId="0" applyNumberFormat="1" applyFont="1" applyFill="1" applyBorder="1" applyAlignment="1">
      <alignment horizontal="right" vertical="center"/>
    </xf>
    <xf numFmtId="0" fontId="242" fillId="12" borderId="121" xfId="0" applyFont="1" applyFill="1" applyBorder="1" applyAlignment="1">
      <alignment horizontal="right" vertical="center"/>
    </xf>
    <xf numFmtId="164" fontId="123" fillId="12" borderId="47" xfId="0" applyNumberFormat="1" applyFont="1" applyFill="1" applyBorder="1" applyAlignment="1">
      <alignment horizontal="right" vertical="center"/>
    </xf>
    <xf numFmtId="0" fontId="242" fillId="12" borderId="48" xfId="0" applyFont="1" applyFill="1" applyBorder="1" applyAlignment="1">
      <alignment horizontal="right" vertical="center"/>
    </xf>
    <xf numFmtId="164" fontId="123" fillId="12" borderId="18" xfId="0" applyNumberFormat="1" applyFont="1" applyFill="1" applyBorder="1" applyAlignment="1">
      <alignment horizontal="right" vertical="center"/>
    </xf>
    <xf numFmtId="0" fontId="242" fillId="12" borderId="19" xfId="0" applyFont="1" applyFill="1" applyBorder="1" applyAlignment="1">
      <alignment horizontal="right" vertical="center"/>
    </xf>
    <xf numFmtId="0" fontId="144" fillId="2" borderId="142" xfId="50" applyFont="1" applyFill="1" applyBorder="1" applyAlignment="1">
      <alignment horizontal="center" vertical="center"/>
    </xf>
    <xf numFmtId="0" fontId="144" fillId="2" borderId="54" xfId="0" applyFont="1" applyFill="1" applyBorder="1" applyAlignment="1">
      <alignment horizontal="center" vertical="center"/>
    </xf>
    <xf numFmtId="0" fontId="0" fillId="0" borderId="54" xfId="0" applyBorder="1" applyAlignment="1">
      <alignment horizontal="center" vertical="center"/>
    </xf>
    <xf numFmtId="9" fontId="276" fillId="6" borderId="140" xfId="0" applyNumberFormat="1" applyFont="1" applyFill="1" applyBorder="1" applyAlignment="1">
      <alignment horizontal="center" vertical="center" wrapText="1"/>
    </xf>
    <xf numFmtId="9" fontId="276" fillId="6" borderId="0" xfId="0" applyNumberFormat="1" applyFont="1" applyFill="1" applyBorder="1" applyAlignment="1">
      <alignment horizontal="center" vertical="center" wrapText="1"/>
    </xf>
    <xf numFmtId="9" fontId="276" fillId="6" borderId="19" xfId="0" applyNumberFormat="1" applyFont="1" applyFill="1" applyBorder="1" applyAlignment="1">
      <alignment horizontal="center" vertical="center" wrapText="1"/>
    </xf>
    <xf numFmtId="0" fontId="400" fillId="6" borderId="14" xfId="50" applyFont="1" applyFill="1" applyBorder="1" applyAlignment="1">
      <alignment horizontal="center" vertical="center" wrapText="1"/>
    </xf>
    <xf numFmtId="0" fontId="127" fillId="6" borderId="15" xfId="0" applyFont="1" applyFill="1" applyBorder="1" applyAlignment="1">
      <alignment horizontal="center" vertical="center"/>
    </xf>
    <xf numFmtId="0" fontId="127" fillId="6" borderId="16" xfId="0" applyFont="1" applyFill="1" applyBorder="1" applyAlignment="1">
      <alignment horizontal="center" vertical="center"/>
    </xf>
    <xf numFmtId="0" fontId="127" fillId="6" borderId="18" xfId="0" applyFont="1" applyFill="1" applyBorder="1" applyAlignment="1">
      <alignment horizontal="center" vertical="center"/>
    </xf>
    <xf numFmtId="0" fontId="127" fillId="6" borderId="19" xfId="0" applyFont="1" applyFill="1" applyBorder="1" applyAlignment="1">
      <alignment horizontal="center" vertical="center"/>
    </xf>
    <xf numFmtId="0" fontId="127" fillId="6" borderId="20" xfId="0" applyFont="1" applyFill="1" applyBorder="1" applyAlignment="1">
      <alignment horizontal="center" vertical="center"/>
    </xf>
    <xf numFmtId="0" fontId="351" fillId="40" borderId="14" xfId="0" applyFont="1" applyFill="1" applyBorder="1" applyAlignment="1">
      <alignment horizontal="center" vertical="center" wrapText="1"/>
    </xf>
    <xf numFmtId="0" fontId="351" fillId="40" borderId="15" xfId="0" applyFont="1" applyFill="1" applyBorder="1" applyAlignment="1">
      <alignment horizontal="center" vertical="center" wrapText="1"/>
    </xf>
    <xf numFmtId="0" fontId="351" fillId="40" borderId="16" xfId="0" applyFont="1" applyFill="1" applyBorder="1" applyAlignment="1">
      <alignment horizontal="center" vertical="center" wrapText="1"/>
    </xf>
    <xf numFmtId="0" fontId="351" fillId="40" borderId="18" xfId="0" applyFont="1" applyFill="1" applyBorder="1" applyAlignment="1">
      <alignment horizontal="center" vertical="center"/>
    </xf>
    <xf numFmtId="0" fontId="351" fillId="40" borderId="19" xfId="0" applyFont="1" applyFill="1" applyBorder="1" applyAlignment="1">
      <alignment horizontal="center" vertical="center"/>
    </xf>
    <xf numFmtId="0" fontId="351" fillId="40" borderId="20" xfId="0" applyFont="1" applyFill="1" applyBorder="1" applyAlignment="1">
      <alignment horizontal="center" vertical="center"/>
    </xf>
    <xf numFmtId="0" fontId="198" fillId="2" borderId="103" xfId="50" applyFont="1" applyFill="1" applyBorder="1" applyAlignment="1">
      <alignment horizontal="center" vertical="center" wrapText="1"/>
    </xf>
    <xf numFmtId="0" fontId="242" fillId="0" borderId="108" xfId="0" applyFont="1" applyBorder="1" applyAlignment="1">
      <alignment horizontal="center" vertical="center" wrapText="1"/>
    </xf>
    <xf numFmtId="0" fontId="242" fillId="0" borderId="116" xfId="0" applyFont="1" applyBorder="1" applyAlignment="1">
      <alignment horizontal="center" vertical="center" wrapText="1"/>
    </xf>
    <xf numFmtId="0" fontId="198" fillId="2" borderId="73" xfId="50" applyFont="1" applyFill="1" applyBorder="1" applyAlignment="1">
      <alignment horizontal="center" vertical="center" wrapText="1"/>
    </xf>
    <xf numFmtId="0" fontId="242" fillId="0" borderId="24" xfId="0" applyFont="1" applyBorder="1" applyAlignment="1">
      <alignment horizontal="center" vertical="center" wrapText="1"/>
    </xf>
    <xf numFmtId="0" fontId="242" fillId="0" borderId="30" xfId="0" applyFont="1" applyBorder="1" applyAlignment="1">
      <alignment horizontal="center" vertical="center" wrapText="1"/>
    </xf>
    <xf numFmtId="0" fontId="176" fillId="39" borderId="22" xfId="50" applyFont="1" applyFill="1" applyBorder="1" applyAlignment="1">
      <alignment horizontal="center" vertical="center" textRotation="90" wrapText="1"/>
    </xf>
    <xf numFmtId="0" fontId="176" fillId="39" borderId="27" xfId="50" applyFont="1" applyFill="1" applyBorder="1" applyAlignment="1">
      <alignment horizontal="center" vertical="center" textRotation="90" wrapText="1"/>
    </xf>
    <xf numFmtId="0" fontId="176" fillId="39" borderId="16" xfId="50" applyFont="1" applyFill="1" applyBorder="1" applyAlignment="1">
      <alignment horizontal="center" vertical="center" textRotation="90" wrapText="1"/>
    </xf>
    <xf numFmtId="0" fontId="176" fillId="39" borderId="17" xfId="50" applyFont="1" applyFill="1" applyBorder="1" applyAlignment="1">
      <alignment horizontal="center" vertical="center" textRotation="90" wrapText="1"/>
    </xf>
    <xf numFmtId="0" fontId="165" fillId="2" borderId="139" xfId="50" applyFont="1" applyFill="1" applyBorder="1" applyAlignment="1">
      <alignment horizontal="center" vertical="center"/>
    </xf>
    <xf numFmtId="0" fontId="165" fillId="2" borderId="140" xfId="50" applyFont="1" applyFill="1" applyBorder="1" applyAlignment="1">
      <alignment horizontal="center" vertical="center"/>
    </xf>
    <xf numFmtId="0" fontId="165" fillId="2" borderId="141" xfId="50" applyFont="1" applyFill="1" applyBorder="1" applyAlignment="1">
      <alignment horizontal="center" vertical="center"/>
    </xf>
    <xf numFmtId="0" fontId="311" fillId="2" borderId="22" xfId="0" applyFont="1" applyFill="1" applyBorder="1" applyAlignment="1">
      <alignment horizontal="right" vertical="center"/>
    </xf>
    <xf numFmtId="0" fontId="304" fillId="2" borderId="22" xfId="0" applyFont="1" applyFill="1" applyBorder="1" applyAlignment="1"/>
    <xf numFmtId="0" fontId="82" fillId="2" borderId="25" xfId="0" applyFont="1" applyFill="1" applyBorder="1" applyAlignment="1">
      <alignment horizontal="center" vertical="center"/>
    </xf>
    <xf numFmtId="0" fontId="82" fillId="2" borderId="26" xfId="0" applyFont="1" applyFill="1" applyBorder="1" applyAlignment="1">
      <alignment horizontal="center" vertical="center"/>
    </xf>
    <xf numFmtId="0" fontId="82" fillId="2" borderId="27" xfId="0" applyFont="1" applyFill="1" applyBorder="1" applyAlignment="1">
      <alignment horizontal="center" vertical="center"/>
    </xf>
    <xf numFmtId="166" fontId="92" fillId="12" borderId="22" xfId="0" applyNumberFormat="1" applyFont="1" applyFill="1" applyBorder="1" applyAlignment="1">
      <alignment horizontal="center" vertical="center"/>
    </xf>
    <xf numFmtId="0" fontId="92" fillId="12" borderId="22" xfId="0" applyFont="1" applyFill="1" applyBorder="1" applyAlignment="1"/>
    <xf numFmtId="0" fontId="46" fillId="6" borderId="17" xfId="50" applyFont="1" applyFill="1" applyBorder="1" applyAlignment="1">
      <alignment horizontal="center" vertical="top" wrapText="1"/>
    </xf>
    <xf numFmtId="0" fontId="0" fillId="0" borderId="21" xfId="0" applyBorder="1" applyAlignment="1">
      <alignment horizontal="center" vertical="top" wrapText="1"/>
    </xf>
    <xf numFmtId="0" fontId="374" fillId="6" borderId="17" xfId="50" applyFont="1" applyFill="1" applyBorder="1" applyAlignment="1">
      <alignment horizontal="center" vertical="center"/>
    </xf>
    <xf numFmtId="0" fontId="374" fillId="6" borderId="21" xfId="50" applyFont="1" applyFill="1" applyBorder="1" applyAlignment="1">
      <alignment horizontal="center" vertical="center"/>
    </xf>
    <xf numFmtId="166" fontId="312" fillId="2" borderId="0" xfId="50" applyNumberFormat="1" applyFont="1" applyFill="1" applyBorder="1" applyAlignment="1">
      <alignment horizontal="center" vertical="center"/>
    </xf>
    <xf numFmtId="0" fontId="312" fillId="2" borderId="0" xfId="0" applyFont="1" applyFill="1" applyBorder="1" applyAlignment="1"/>
    <xf numFmtId="0" fontId="312" fillId="2" borderId="24" xfId="0" applyFont="1" applyFill="1" applyBorder="1" applyAlignment="1"/>
    <xf numFmtId="166" fontId="312" fillId="2" borderId="19" xfId="50" applyNumberFormat="1" applyFont="1" applyFill="1" applyBorder="1" applyAlignment="1">
      <alignment horizontal="center" vertical="center"/>
    </xf>
    <xf numFmtId="0" fontId="312" fillId="2" borderId="19" xfId="0" applyFont="1" applyFill="1" applyBorder="1" applyAlignment="1"/>
    <xf numFmtId="0" fontId="312" fillId="2" borderId="20" xfId="0" applyFont="1" applyFill="1" applyBorder="1" applyAlignment="1"/>
    <xf numFmtId="0" fontId="258" fillId="8" borderId="26" xfId="50" applyFont="1" applyFill="1" applyBorder="1" applyAlignment="1">
      <alignment horizontal="center" vertical="center"/>
    </xf>
    <xf numFmtId="0" fontId="258" fillId="8" borderId="149" xfId="50" applyFont="1" applyFill="1" applyBorder="1" applyAlignment="1">
      <alignment horizontal="center" vertical="center"/>
    </xf>
    <xf numFmtId="0" fontId="213" fillId="6" borderId="23" xfId="50" applyFont="1" applyFill="1" applyBorder="1" applyAlignment="1">
      <alignment horizontal="center" vertical="center" wrapText="1"/>
    </xf>
    <xf numFmtId="0" fontId="213" fillId="6" borderId="0" xfId="50" applyFont="1" applyFill="1" applyBorder="1" applyAlignment="1">
      <alignment horizontal="center" vertical="center" wrapText="1"/>
    </xf>
    <xf numFmtId="0" fontId="213" fillId="6" borderId="0" xfId="0" applyFont="1" applyFill="1" applyAlignment="1"/>
    <xf numFmtId="0" fontId="213" fillId="6" borderId="24" xfId="0" applyFont="1" applyFill="1" applyBorder="1" applyAlignment="1"/>
    <xf numFmtId="0" fontId="213" fillId="6" borderId="0" xfId="0" applyFont="1" applyFill="1" applyBorder="1" applyAlignment="1"/>
    <xf numFmtId="0" fontId="213" fillId="6" borderId="18" xfId="0" applyFont="1" applyFill="1" applyBorder="1" applyAlignment="1"/>
    <xf numFmtId="0" fontId="213" fillId="6" borderId="19" xfId="0" applyFont="1" applyFill="1" applyBorder="1" applyAlignment="1"/>
    <xf numFmtId="0" fontId="213" fillId="6" borderId="20" xfId="0" applyFont="1" applyFill="1" applyBorder="1" applyAlignment="1"/>
    <xf numFmtId="0" fontId="155" fillId="0" borderId="25" xfId="0" applyFont="1" applyBorder="1" applyAlignment="1">
      <alignment horizontal="center" vertical="center" wrapText="1"/>
    </xf>
    <xf numFmtId="0" fontId="92" fillId="0" borderId="27" xfId="0" applyFont="1" applyBorder="1" applyAlignment="1">
      <alignment horizontal="center" vertical="center" wrapText="1"/>
    </xf>
    <xf numFmtId="0" fontId="143" fillId="2" borderId="23" xfId="50" applyFont="1" applyFill="1" applyBorder="1" applyAlignment="1">
      <alignment horizontal="center" vertical="center"/>
    </xf>
    <xf numFmtId="0" fontId="143" fillId="2" borderId="0" xfId="50" applyFont="1" applyFill="1" applyBorder="1" applyAlignment="1">
      <alignment horizontal="center" vertical="center"/>
    </xf>
    <xf numFmtId="0" fontId="0" fillId="0" borderId="24" xfId="0" applyBorder="1" applyAlignment="1"/>
    <xf numFmtId="0" fontId="159" fillId="2" borderId="25" xfId="50" applyFont="1" applyFill="1" applyBorder="1" applyAlignment="1">
      <alignment horizontal="center" vertical="center"/>
    </xf>
    <xf numFmtId="0" fontId="87" fillId="2" borderId="26" xfId="0" applyFont="1" applyFill="1" applyBorder="1" applyAlignment="1">
      <alignment horizontal="center" vertical="center"/>
    </xf>
    <xf numFmtId="0" fontId="87" fillId="2" borderId="27" xfId="0" applyFont="1" applyFill="1" applyBorder="1" applyAlignment="1">
      <alignment horizontal="center" vertical="center"/>
    </xf>
    <xf numFmtId="2" fontId="258" fillId="53" borderId="121" xfId="50" applyNumberFormat="1" applyFont="1" applyFill="1" applyBorder="1" applyAlignment="1">
      <alignment horizontal="center" vertical="center"/>
    </xf>
    <xf numFmtId="0" fontId="258" fillId="53" borderId="121" xfId="50" applyFont="1" applyFill="1" applyBorder="1" applyAlignment="1">
      <alignment horizontal="center" vertical="center"/>
    </xf>
    <xf numFmtId="0" fontId="258" fillId="53" borderId="123" xfId="50" applyFont="1" applyFill="1" applyBorder="1" applyAlignment="1">
      <alignment horizontal="center" vertical="center"/>
    </xf>
    <xf numFmtId="0" fontId="126" fillId="0" borderId="15" xfId="50" applyFont="1" applyBorder="1" applyAlignment="1">
      <alignment horizontal="center" vertical="top"/>
    </xf>
    <xf numFmtId="0" fontId="0" fillId="0" borderId="15" xfId="0" applyBorder="1" applyAlignment="1">
      <alignment horizontal="center"/>
    </xf>
    <xf numFmtId="0" fontId="64" fillId="0" borderId="25" xfId="0" applyFont="1" applyBorder="1" applyAlignment="1">
      <alignment horizontal="center" vertical="center" wrapText="1"/>
    </xf>
    <xf numFmtId="0" fontId="64" fillId="0" borderId="27" xfId="0" applyFont="1" applyBorder="1" applyAlignment="1">
      <alignment horizontal="center" vertical="center" wrapText="1"/>
    </xf>
    <xf numFmtId="0" fontId="53" fillId="39" borderId="14" xfId="0" applyFont="1" applyFill="1" applyBorder="1" applyAlignment="1">
      <alignment horizontal="center" vertical="center" wrapText="1"/>
    </xf>
    <xf numFmtId="0" fontId="53" fillId="39" borderId="78" xfId="0" applyFont="1" applyFill="1" applyBorder="1" applyAlignment="1">
      <alignment horizontal="center" vertical="center" wrapText="1"/>
    </xf>
    <xf numFmtId="0" fontId="133" fillId="0" borderId="75" xfId="50" applyFont="1" applyBorder="1" applyAlignment="1">
      <alignment horizontal="center" vertical="center" textRotation="90" wrapText="1"/>
    </xf>
    <xf numFmtId="0" fontId="0" fillId="0" borderId="120" xfId="0" applyBorder="1" applyAlignment="1">
      <alignment horizontal="center" textRotation="90"/>
    </xf>
    <xf numFmtId="0" fontId="0" fillId="0" borderId="114" xfId="0" applyBorder="1" applyAlignment="1">
      <alignment horizontal="center" textRotation="90"/>
    </xf>
    <xf numFmtId="0" fontId="312" fillId="2" borderId="14" xfId="50" applyFont="1" applyFill="1" applyBorder="1" applyAlignment="1">
      <alignment horizontal="center" vertical="center"/>
    </xf>
    <xf numFmtId="0" fontId="312" fillId="2" borderId="15" xfId="0" applyFont="1" applyFill="1" applyBorder="1" applyAlignment="1">
      <alignment horizontal="center" vertical="center"/>
    </xf>
    <xf numFmtId="0" fontId="312" fillId="2" borderId="16" xfId="0" applyFont="1" applyFill="1" applyBorder="1" applyAlignment="1">
      <alignment horizontal="center" vertical="center"/>
    </xf>
    <xf numFmtId="0" fontId="238" fillId="11" borderId="85" xfId="50" applyFont="1" applyFill="1" applyBorder="1" applyAlignment="1">
      <alignment horizontal="center" vertical="center" wrapText="1"/>
    </xf>
    <xf numFmtId="0" fontId="238" fillId="11" borderId="91" xfId="50" applyFont="1" applyFill="1" applyBorder="1" applyAlignment="1">
      <alignment horizontal="center" vertical="center" wrapText="1"/>
    </xf>
    <xf numFmtId="0" fontId="238" fillId="11" borderId="99" xfId="50" applyFont="1" applyFill="1" applyBorder="1" applyAlignment="1">
      <alignment horizontal="center" vertical="center" wrapText="1"/>
    </xf>
    <xf numFmtId="0" fontId="64" fillId="0" borderId="382" xfId="50" applyFont="1" applyFill="1" applyBorder="1" applyAlignment="1">
      <alignment horizontal="center" vertical="center" wrapText="1"/>
    </xf>
    <xf numFmtId="0" fontId="64" fillId="0" borderId="115" xfId="0" applyFont="1" applyFill="1" applyBorder="1" applyAlignment="1">
      <alignment horizontal="center" vertical="center" wrapText="1"/>
    </xf>
    <xf numFmtId="0" fontId="64" fillId="0" borderId="383" xfId="0" applyFont="1" applyBorder="1" applyAlignment="1">
      <alignment horizontal="center"/>
    </xf>
    <xf numFmtId="0" fontId="81" fillId="0" borderId="0" xfId="0" applyFont="1" applyFill="1" applyBorder="1" applyAlignment="1">
      <alignment horizontal="center" vertical="center" wrapText="1"/>
    </xf>
    <xf numFmtId="0" fontId="239" fillId="6" borderId="22" xfId="50" applyFont="1" applyFill="1" applyBorder="1" applyAlignment="1">
      <alignment horizontal="center" vertical="center" wrapText="1"/>
    </xf>
    <xf numFmtId="0" fontId="344" fillId="6" borderId="22" xfId="0" applyFont="1" applyFill="1" applyBorder="1"/>
    <xf numFmtId="0" fontId="222" fillId="39" borderId="100" xfId="50" applyFont="1" applyFill="1" applyBorder="1" applyAlignment="1">
      <alignment horizontal="center" vertical="center" wrapText="1"/>
    </xf>
    <xf numFmtId="0" fontId="53" fillId="39" borderId="96" xfId="0" applyFont="1" applyFill="1" applyBorder="1" applyAlignment="1">
      <alignment horizontal="center" wrapText="1"/>
    </xf>
    <xf numFmtId="0" fontId="53" fillId="39" borderId="113" xfId="0" applyFont="1" applyFill="1" applyBorder="1" applyAlignment="1">
      <alignment horizontal="center" wrapText="1"/>
    </xf>
    <xf numFmtId="0" fontId="287" fillId="2" borderId="86" xfId="0" applyFont="1" applyFill="1" applyBorder="1" applyAlignment="1">
      <alignment horizontal="center" wrapText="1"/>
    </xf>
    <xf numFmtId="0" fontId="123" fillId="39" borderId="15" xfId="0" applyFont="1" applyFill="1" applyBorder="1" applyAlignment="1">
      <alignment horizontal="center" wrapText="1"/>
    </xf>
    <xf numFmtId="0" fontId="123" fillId="39" borderId="16" xfId="0" applyFont="1" applyFill="1" applyBorder="1" applyAlignment="1">
      <alignment horizontal="center" wrapText="1"/>
    </xf>
    <xf numFmtId="0" fontId="123" fillId="39" borderId="23" xfId="0" applyFont="1" applyFill="1" applyBorder="1" applyAlignment="1">
      <alignment horizontal="center" wrapText="1"/>
    </xf>
    <xf numFmtId="0" fontId="123" fillId="39" borderId="0" xfId="0" applyFont="1" applyFill="1" applyBorder="1" applyAlignment="1">
      <alignment horizontal="center" wrapText="1"/>
    </xf>
    <xf numFmtId="0" fontId="123" fillId="39" borderId="24" xfId="0" applyFont="1" applyFill="1" applyBorder="1" applyAlignment="1">
      <alignment horizontal="center" wrapText="1"/>
    </xf>
    <xf numFmtId="0" fontId="64" fillId="9" borderId="14" xfId="0" applyFont="1" applyFill="1" applyBorder="1" applyAlignment="1">
      <alignment horizontal="center" vertical="center" wrapText="1"/>
    </xf>
    <xf numFmtId="0" fontId="64" fillId="9" borderId="15" xfId="0" applyFont="1" applyFill="1" applyBorder="1" applyAlignment="1">
      <alignment horizontal="center" vertical="center" wrapText="1"/>
    </xf>
    <xf numFmtId="0" fontId="64" fillId="9" borderId="16" xfId="0" applyFont="1" applyFill="1" applyBorder="1" applyAlignment="1">
      <alignment horizontal="center" vertical="center" wrapText="1"/>
    </xf>
    <xf numFmtId="0" fontId="64" fillId="9" borderId="18" xfId="0" applyFont="1" applyFill="1" applyBorder="1" applyAlignment="1">
      <alignment horizontal="center" vertical="center" wrapText="1"/>
    </xf>
    <xf numFmtId="0" fontId="64" fillId="9" borderId="19" xfId="0" applyFont="1" applyFill="1" applyBorder="1" applyAlignment="1">
      <alignment horizontal="center" vertical="center" wrapText="1"/>
    </xf>
    <xf numFmtId="0" fontId="64" fillId="9" borderId="20" xfId="0" applyFont="1" applyFill="1" applyBorder="1" applyAlignment="1">
      <alignment horizontal="center" vertical="center" wrapText="1"/>
    </xf>
    <xf numFmtId="0" fontId="212" fillId="12" borderId="17" xfId="50" applyFont="1" applyFill="1" applyBorder="1" applyAlignment="1">
      <alignment horizontal="center" vertical="center" textRotation="90" wrapText="1"/>
    </xf>
    <xf numFmtId="0" fontId="213" fillId="12" borderId="86" xfId="0" applyFont="1" applyFill="1" applyBorder="1" applyAlignment="1">
      <alignment horizontal="center" textRotation="90" wrapText="1"/>
    </xf>
    <xf numFmtId="0" fontId="213" fillId="12" borderId="86" xfId="0" applyFont="1" applyFill="1" applyBorder="1" applyAlignment="1">
      <alignment horizontal="center" wrapText="1"/>
    </xf>
    <xf numFmtId="0" fontId="213" fillId="12" borderId="21" xfId="0" applyFont="1" applyFill="1" applyBorder="1" applyAlignment="1">
      <alignment horizontal="center" wrapText="1"/>
    </xf>
    <xf numFmtId="0" fontId="30" fillId="6" borderId="15" xfId="0" applyFont="1" applyFill="1" applyBorder="1" applyAlignment="1">
      <alignment horizontal="center" vertical="top" wrapText="1"/>
    </xf>
    <xf numFmtId="0" fontId="252" fillId="39" borderId="15" xfId="50" applyFont="1" applyFill="1" applyBorder="1" applyAlignment="1">
      <alignment horizontal="center" vertical="center" wrapText="1"/>
    </xf>
    <xf numFmtId="0" fontId="213" fillId="39" borderId="15" xfId="0" applyFont="1" applyFill="1" applyBorder="1" applyAlignment="1">
      <alignment horizontal="center" vertical="center" wrapText="1"/>
    </xf>
    <xf numFmtId="0" fontId="213" fillId="39" borderId="24" xfId="0" applyFont="1" applyFill="1" applyBorder="1" applyAlignment="1">
      <alignment horizontal="center" vertical="center" wrapText="1"/>
    </xf>
    <xf numFmtId="0" fontId="213" fillId="39" borderId="19" xfId="0" applyFont="1" applyFill="1" applyBorder="1" applyAlignment="1">
      <alignment horizontal="center" vertical="center" wrapText="1"/>
    </xf>
    <xf numFmtId="0" fontId="213" fillId="39" borderId="20" xfId="0" applyFont="1" applyFill="1" applyBorder="1" applyAlignment="1">
      <alignment horizontal="center" vertical="center" wrapText="1"/>
    </xf>
    <xf numFmtId="0" fontId="17" fillId="6" borderId="15" xfId="0" applyFont="1" applyFill="1" applyBorder="1" applyAlignment="1">
      <alignment vertical="top" wrapText="1"/>
    </xf>
    <xf numFmtId="0" fontId="0" fillId="0" borderId="15" xfId="0" applyBorder="1" applyAlignment="1">
      <alignment wrapText="1"/>
    </xf>
    <xf numFmtId="0" fontId="183" fillId="2" borderId="14" xfId="50" applyFont="1" applyFill="1" applyBorder="1" applyAlignment="1">
      <alignment horizontal="center" vertical="center"/>
    </xf>
    <xf numFmtId="0" fontId="197" fillId="2" borderId="15" xfId="0" applyFont="1" applyFill="1" applyBorder="1" applyAlignment="1">
      <alignment horizontal="center"/>
    </xf>
    <xf numFmtId="0" fontId="197" fillId="2" borderId="16" xfId="0" applyFont="1" applyFill="1" applyBorder="1" applyAlignment="1">
      <alignment horizontal="center"/>
    </xf>
    <xf numFmtId="0" fontId="176" fillId="39" borderId="22" xfId="50" quotePrefix="1" applyFont="1" applyFill="1" applyBorder="1" applyAlignment="1">
      <alignment horizontal="center" vertical="center" textRotation="90" wrapText="1"/>
    </xf>
    <xf numFmtId="0" fontId="238" fillId="11" borderId="25" xfId="50" applyFont="1" applyFill="1" applyBorder="1" applyAlignment="1">
      <alignment horizontal="center" vertical="center" wrapText="1"/>
    </xf>
    <xf numFmtId="0" fontId="238" fillId="11" borderId="26" xfId="50" applyFont="1" applyFill="1" applyBorder="1" applyAlignment="1">
      <alignment horizontal="center" vertical="center" wrapText="1"/>
    </xf>
    <xf numFmtId="0" fontId="238" fillId="11" borderId="27" xfId="50" applyFont="1" applyFill="1" applyBorder="1" applyAlignment="1">
      <alignment horizontal="center" vertical="center" wrapText="1"/>
    </xf>
    <xf numFmtId="0" fontId="213" fillId="39" borderId="17" xfId="50" applyFont="1" applyFill="1" applyBorder="1" applyAlignment="1">
      <alignment horizontal="center" vertical="center" textRotation="90" wrapText="1"/>
    </xf>
    <xf numFmtId="0" fontId="213" fillId="39" borderId="86" xfId="0" applyFont="1" applyFill="1" applyBorder="1" applyAlignment="1">
      <alignment horizontal="center" textRotation="90" wrapText="1"/>
    </xf>
    <xf numFmtId="0" fontId="213" fillId="39" borderId="86" xfId="0" applyFont="1" applyFill="1" applyBorder="1" applyAlignment="1">
      <alignment horizontal="center" wrapText="1"/>
    </xf>
    <xf numFmtId="0" fontId="183" fillId="2" borderId="23" xfId="50" applyFont="1" applyFill="1" applyBorder="1" applyAlignment="1">
      <alignment horizontal="center" vertical="center"/>
    </xf>
    <xf numFmtId="0" fontId="197" fillId="2" borderId="0" xfId="0" applyFont="1" applyFill="1" applyBorder="1" applyAlignment="1">
      <alignment horizontal="center"/>
    </xf>
    <xf numFmtId="0" fontId="197" fillId="2" borderId="24" xfId="0" applyFont="1" applyFill="1" applyBorder="1" applyAlignment="1">
      <alignment horizontal="center"/>
    </xf>
    <xf numFmtId="0" fontId="77" fillId="6" borderId="87" xfId="50" applyFont="1" applyFill="1" applyBorder="1" applyAlignment="1">
      <alignment horizontal="center" vertical="center" wrapText="1"/>
    </xf>
    <xf numFmtId="0" fontId="64" fillId="0" borderId="88" xfId="0" applyFont="1" applyBorder="1" applyAlignment="1">
      <alignment horizontal="center" wrapText="1"/>
    </xf>
    <xf numFmtId="0" fontId="123" fillId="6" borderId="14" xfId="0" applyFont="1" applyFill="1" applyBorder="1" applyAlignment="1">
      <alignment horizontal="center" vertical="center" textRotation="90" wrapText="1"/>
    </xf>
    <xf numFmtId="0" fontId="64" fillId="0" borderId="15" xfId="0" applyFont="1" applyBorder="1" applyAlignment="1">
      <alignment horizontal="center"/>
    </xf>
    <xf numFmtId="0" fontId="64" fillId="0" borderId="23" xfId="0" applyFont="1" applyBorder="1" applyAlignment="1">
      <alignment horizontal="center"/>
    </xf>
    <xf numFmtId="0" fontId="64" fillId="0" borderId="0" xfId="0" applyFont="1" applyAlignment="1">
      <alignment horizontal="center"/>
    </xf>
    <xf numFmtId="0" fontId="64" fillId="0" borderId="18" xfId="0" applyFont="1" applyBorder="1" applyAlignment="1">
      <alignment horizontal="center"/>
    </xf>
    <xf numFmtId="0" fontId="64" fillId="0" borderId="19" xfId="0" applyFont="1" applyBorder="1" applyAlignment="1">
      <alignment horizontal="center"/>
    </xf>
    <xf numFmtId="0" fontId="85" fillId="0" borderId="0" xfId="50" applyFont="1" applyBorder="1" applyAlignment="1">
      <alignment horizontal="center" vertical="center"/>
    </xf>
    <xf numFmtId="0" fontId="64" fillId="0" borderId="0" xfId="0" applyFont="1" applyBorder="1" applyAlignment="1">
      <alignment horizontal="center" vertical="center"/>
    </xf>
    <xf numFmtId="0" fontId="77" fillId="6" borderId="15" xfId="50" applyFont="1" applyFill="1" applyBorder="1" applyAlignment="1">
      <alignment vertical="center"/>
    </xf>
    <xf numFmtId="0" fontId="23" fillId="0" borderId="15" xfId="0" applyFont="1" applyBorder="1" applyAlignment="1">
      <alignment vertical="center"/>
    </xf>
    <xf numFmtId="0" fontId="374" fillId="6" borderId="15" xfId="50" applyFont="1" applyFill="1" applyBorder="1" applyAlignment="1">
      <alignment horizontal="center" vertical="center" wrapText="1"/>
    </xf>
    <xf numFmtId="0" fontId="83" fillId="0" borderId="15" xfId="0" applyFont="1" applyBorder="1" applyAlignment="1">
      <alignment horizontal="center" vertical="center" wrapText="1"/>
    </xf>
    <xf numFmtId="0" fontId="83" fillId="0" borderId="16" xfId="0" applyFont="1" applyBorder="1" applyAlignment="1">
      <alignment horizontal="center" vertical="center" wrapText="1"/>
    </xf>
    <xf numFmtId="0" fontId="83" fillId="0" borderId="0" xfId="0" applyFont="1" applyAlignment="1"/>
    <xf numFmtId="0" fontId="83" fillId="0" borderId="24" xfId="0" applyFont="1" applyBorder="1" applyAlignment="1"/>
    <xf numFmtId="0" fontId="155" fillId="0" borderId="72" xfId="50" applyFont="1" applyBorder="1" applyAlignment="1">
      <alignment horizontal="center" vertical="center" wrapText="1"/>
    </xf>
    <xf numFmtId="0" fontId="242" fillId="0" borderId="77" xfId="0" applyFont="1" applyBorder="1" applyAlignment="1">
      <alignment horizontal="center" vertical="center" wrapText="1"/>
    </xf>
    <xf numFmtId="0" fontId="183" fillId="2" borderId="18" xfId="50" applyFont="1" applyFill="1" applyBorder="1" applyAlignment="1">
      <alignment horizontal="center" vertical="center" wrapText="1"/>
    </xf>
    <xf numFmtId="0" fontId="197" fillId="2" borderId="19" xfId="0" applyFont="1" applyFill="1" applyBorder="1" applyAlignment="1"/>
    <xf numFmtId="0" fontId="197" fillId="2" borderId="20" xfId="0" applyFont="1" applyFill="1" applyBorder="1" applyAlignment="1"/>
    <xf numFmtId="0" fontId="215" fillId="4" borderId="104" xfId="0" applyFont="1" applyFill="1" applyBorder="1" applyAlignment="1">
      <alignment horizontal="center" vertical="center" wrapText="1"/>
    </xf>
    <xf numFmtId="0" fontId="0" fillId="4" borderId="105" xfId="0" applyFill="1" applyBorder="1" applyAlignment="1">
      <alignment horizontal="center" vertical="center" wrapText="1"/>
    </xf>
    <xf numFmtId="0" fontId="0" fillId="4" borderId="106" xfId="0" applyFill="1" applyBorder="1" applyAlignment="1">
      <alignment horizontal="center" vertical="center" wrapText="1"/>
    </xf>
    <xf numFmtId="0" fontId="0" fillId="4" borderId="110" xfId="0" applyFill="1" applyBorder="1" applyAlignment="1">
      <alignment horizontal="center" vertical="center" wrapText="1"/>
    </xf>
    <xf numFmtId="0" fontId="0" fillId="4" borderId="111" xfId="0" applyFill="1" applyBorder="1" applyAlignment="1">
      <alignment horizontal="center" vertical="center" wrapText="1"/>
    </xf>
    <xf numFmtId="0" fontId="0" fillId="4" borderId="112" xfId="0" applyFill="1" applyBorder="1" applyAlignment="1">
      <alignment horizontal="center" vertical="center" wrapText="1"/>
    </xf>
    <xf numFmtId="166" fontId="90" fillId="12" borderId="92" xfId="50" applyNumberFormat="1" applyFont="1" applyFill="1" applyBorder="1" applyAlignment="1">
      <alignment horizontal="center" vertical="center"/>
    </xf>
    <xf numFmtId="166" fontId="92" fillId="12" borderId="93" xfId="0" applyNumberFormat="1" applyFont="1" applyFill="1" applyBorder="1" applyAlignment="1"/>
    <xf numFmtId="0" fontId="159" fillId="2" borderId="98" xfId="50" applyFont="1" applyFill="1" applyBorder="1" applyAlignment="1">
      <alignment horizontal="center" vertical="center" wrapText="1"/>
    </xf>
    <xf numFmtId="0" fontId="0" fillId="0" borderId="101" xfId="0" applyBorder="1" applyAlignment="1">
      <alignment horizontal="center" vertical="center" wrapText="1"/>
    </xf>
    <xf numFmtId="0" fontId="0" fillId="0" borderId="107" xfId="0" applyBorder="1" applyAlignment="1">
      <alignment horizontal="center" vertical="center" wrapText="1"/>
    </xf>
    <xf numFmtId="166" fontId="90" fillId="12" borderId="81" xfId="50" applyNumberFormat="1" applyFont="1" applyFill="1" applyBorder="1" applyAlignment="1">
      <alignment horizontal="center" vertical="center"/>
    </xf>
    <xf numFmtId="166" fontId="90" fillId="12" borderId="83" xfId="50" applyNumberFormat="1" applyFont="1" applyFill="1" applyBorder="1" applyAlignment="1">
      <alignment horizontal="center" vertical="center"/>
    </xf>
    <xf numFmtId="0" fontId="213" fillId="0" borderId="103" xfId="50" applyFont="1" applyBorder="1" applyAlignment="1">
      <alignment horizontal="center" vertical="center" textRotation="90" wrapText="1"/>
    </xf>
    <xf numFmtId="0" fontId="213" fillId="0" borderId="108" xfId="50" applyFont="1" applyBorder="1" applyAlignment="1">
      <alignment horizontal="center" vertical="center" textRotation="90" wrapText="1"/>
    </xf>
    <xf numFmtId="0" fontId="213" fillId="0" borderId="116" xfId="50" applyFont="1" applyBorder="1" applyAlignment="1">
      <alignment horizontal="center" vertical="center" textRotation="90" wrapText="1"/>
    </xf>
    <xf numFmtId="0" fontId="124" fillId="0" borderId="139" xfId="0" applyFont="1" applyBorder="1" applyAlignment="1">
      <alignment horizontal="center" vertical="center" wrapText="1"/>
    </xf>
    <xf numFmtId="0" fontId="124" fillId="0" borderId="140" xfId="0" applyFont="1" applyBorder="1" applyAlignment="1">
      <alignment horizontal="center" vertical="center" wrapText="1"/>
    </xf>
    <xf numFmtId="0" fontId="124" fillId="0" borderId="173" xfId="0" applyFont="1" applyBorder="1" applyAlignment="1">
      <alignment horizontal="center" vertical="center" wrapText="1"/>
    </xf>
    <xf numFmtId="0" fontId="124" fillId="0" borderId="250" xfId="0" applyFont="1" applyBorder="1" applyAlignment="1">
      <alignment horizontal="center" vertical="center" wrapText="1"/>
    </xf>
    <xf numFmtId="0" fontId="124" fillId="0" borderId="0" xfId="0" applyFont="1" applyBorder="1" applyAlignment="1">
      <alignment horizontal="center" vertical="center" wrapText="1"/>
    </xf>
    <xf numFmtId="0" fontId="124" fillId="0" borderId="102" xfId="0" applyFont="1" applyBorder="1" applyAlignment="1">
      <alignment horizontal="center" vertical="center" wrapText="1"/>
    </xf>
    <xf numFmtId="0" fontId="124" fillId="0" borderId="143" xfId="0" applyFont="1" applyBorder="1" applyAlignment="1">
      <alignment horizontal="center" vertical="center" wrapText="1"/>
    </xf>
    <xf numFmtId="0" fontId="124" fillId="0" borderId="29" xfId="0" applyFont="1" applyBorder="1" applyAlignment="1">
      <alignment horizontal="center" vertical="center" wrapText="1"/>
    </xf>
    <xf numFmtId="0" fontId="124" fillId="0" borderId="259" xfId="0" applyFont="1" applyBorder="1" applyAlignment="1">
      <alignment horizontal="center" vertical="center" wrapText="1"/>
    </xf>
    <xf numFmtId="0" fontId="179" fillId="6" borderId="72" xfId="50" applyFont="1" applyFill="1" applyBorder="1" applyAlignment="1">
      <alignment horizontal="center" vertical="center" wrapText="1"/>
    </xf>
    <xf numFmtId="0" fontId="124" fillId="0" borderId="73" xfId="0" applyFont="1" applyBorder="1" applyAlignment="1">
      <alignment horizontal="center" vertical="center" wrapText="1"/>
    </xf>
    <xf numFmtId="0" fontId="124" fillId="0" borderId="77" xfId="0" applyFont="1" applyBorder="1" applyAlignment="1">
      <alignment horizontal="center" vertical="center" wrapText="1"/>
    </xf>
    <xf numFmtId="0" fontId="124" fillId="0" borderId="20" xfId="0" applyFont="1" applyBorder="1" applyAlignment="1">
      <alignment horizontal="center" vertical="center" wrapText="1"/>
    </xf>
    <xf numFmtId="0" fontId="179" fillId="6" borderId="74" xfId="50" applyFont="1" applyFill="1" applyBorder="1" applyAlignment="1">
      <alignment horizontal="center" vertical="center" wrapText="1"/>
    </xf>
    <xf numFmtId="0" fontId="124" fillId="0" borderId="75" xfId="0" applyFont="1" applyBorder="1" applyAlignment="1">
      <alignment horizontal="center" vertical="center" wrapText="1"/>
    </xf>
    <xf numFmtId="0" fontId="124" fillId="0" borderId="78" xfId="0" applyFont="1" applyBorder="1" applyAlignment="1">
      <alignment horizontal="center" vertical="center" wrapText="1"/>
    </xf>
    <xf numFmtId="0" fontId="124" fillId="0" borderId="79" xfId="0" applyFont="1" applyBorder="1" applyAlignment="1">
      <alignment horizontal="center" vertical="center" wrapText="1"/>
    </xf>
    <xf numFmtId="0" fontId="252" fillId="6" borderId="17" xfId="0" applyFont="1" applyFill="1" applyBorder="1" applyAlignment="1">
      <alignment horizontal="center" vertical="center" wrapText="1"/>
    </xf>
    <xf numFmtId="0" fontId="213" fillId="6" borderId="86" xfId="0" applyFont="1" applyFill="1" applyBorder="1" applyAlignment="1">
      <alignment vertical="center" wrapText="1"/>
    </xf>
    <xf numFmtId="0" fontId="213" fillId="6" borderId="80" xfId="0" applyFont="1" applyFill="1" applyBorder="1" applyAlignment="1">
      <alignment vertical="center" wrapText="1"/>
    </xf>
    <xf numFmtId="0" fontId="90" fillId="12" borderId="92" xfId="50" applyFont="1" applyFill="1" applyBorder="1" applyAlignment="1">
      <alignment horizontal="center" vertical="center"/>
    </xf>
    <xf numFmtId="0" fontId="0" fillId="12" borderId="93" xfId="0" applyFill="1" applyBorder="1" applyAlignment="1">
      <alignment horizontal="center"/>
    </xf>
    <xf numFmtId="0" fontId="95" fillId="6" borderId="72" xfId="50" applyFont="1" applyFill="1" applyBorder="1" applyAlignment="1">
      <alignment horizontal="center" vertical="center"/>
    </xf>
    <xf numFmtId="0" fontId="83" fillId="6" borderId="75" xfId="0" applyFont="1" applyFill="1" applyBorder="1" applyAlignment="1">
      <alignment vertical="center"/>
    </xf>
    <xf numFmtId="0" fontId="83" fillId="0" borderId="94" xfId="0" applyFont="1" applyBorder="1" applyAlignment="1">
      <alignment vertical="center"/>
    </xf>
    <xf numFmtId="0" fontId="83" fillId="0" borderId="95" xfId="0" applyFont="1" applyBorder="1" applyAlignment="1">
      <alignment vertical="center"/>
    </xf>
    <xf numFmtId="0" fontId="208" fillId="46" borderId="0" xfId="0" applyFont="1" applyFill="1" applyAlignment="1">
      <alignment horizontal="center" vertical="center" textRotation="90" wrapText="1"/>
    </xf>
    <xf numFmtId="0" fontId="198" fillId="46" borderId="0" xfId="0" applyFont="1" applyFill="1" applyAlignment="1">
      <alignment horizontal="center"/>
    </xf>
    <xf numFmtId="0" fontId="198" fillId="46" borderId="317" xfId="0" applyFont="1" applyFill="1" applyBorder="1" applyAlignment="1">
      <alignment horizontal="center"/>
    </xf>
    <xf numFmtId="0" fontId="159" fillId="2" borderId="81" xfId="50" applyFont="1" applyFill="1" applyBorder="1" applyAlignment="1">
      <alignment horizontal="center" vertical="center"/>
    </xf>
    <xf numFmtId="0" fontId="92" fillId="0" borderId="82" xfId="0" applyFont="1" applyBorder="1" applyAlignment="1">
      <alignment horizontal="center" vertical="center"/>
    </xf>
    <xf numFmtId="0" fontId="92" fillId="0" borderId="83" xfId="0" applyFont="1" applyBorder="1" applyAlignment="1">
      <alignment horizontal="center" vertical="center"/>
    </xf>
    <xf numFmtId="0" fontId="152" fillId="2" borderId="25" xfId="0" applyFont="1" applyFill="1" applyBorder="1" applyAlignment="1">
      <alignment horizontal="center" vertical="center"/>
    </xf>
    <xf numFmtId="0" fontId="183" fillId="2" borderId="26" xfId="0" applyFont="1" applyFill="1" applyBorder="1"/>
    <xf numFmtId="0" fontId="183" fillId="2" borderId="27" xfId="0" applyFont="1" applyFill="1" applyBorder="1"/>
    <xf numFmtId="0" fontId="152" fillId="2" borderId="150" xfId="0" applyFont="1" applyFill="1" applyBorder="1" applyAlignment="1">
      <alignment horizontal="center" vertical="center"/>
    </xf>
    <xf numFmtId="0" fontId="183" fillId="2" borderId="151" xfId="0" applyFont="1" applyFill="1" applyBorder="1"/>
    <xf numFmtId="0" fontId="183" fillId="2" borderId="152" xfId="0" applyFont="1" applyFill="1" applyBorder="1"/>
    <xf numFmtId="0" fontId="185" fillId="0" borderId="14" xfId="0" applyFont="1" applyBorder="1" applyAlignment="1">
      <alignment horizontal="center" vertical="center" wrapText="1"/>
    </xf>
    <xf numFmtId="0" fontId="185" fillId="0" borderId="15" xfId="0" applyFont="1" applyBorder="1" applyAlignment="1">
      <alignment horizontal="center" vertical="center" wrapText="1"/>
    </xf>
    <xf numFmtId="0" fontId="185" fillId="0" borderId="43" xfId="0" applyFont="1" applyBorder="1" applyAlignment="1">
      <alignment horizontal="center" vertical="center" wrapText="1"/>
    </xf>
    <xf numFmtId="0" fontId="185" fillId="0" borderId="23" xfId="0" applyFont="1" applyBorder="1" applyAlignment="1">
      <alignment horizontal="center" vertical="center" wrapText="1"/>
    </xf>
    <xf numFmtId="0" fontId="185" fillId="0" borderId="0" xfId="0" applyFont="1" applyBorder="1" applyAlignment="1">
      <alignment horizontal="center" vertical="center" wrapText="1"/>
    </xf>
    <xf numFmtId="0" fontId="185" fillId="0" borderId="102" xfId="0" applyFont="1" applyBorder="1" applyAlignment="1">
      <alignment horizontal="center" vertical="center" wrapText="1"/>
    </xf>
    <xf numFmtId="0" fontId="185" fillId="0" borderId="28" xfId="0" applyFont="1" applyBorder="1" applyAlignment="1">
      <alignment horizontal="center" vertical="center" wrapText="1"/>
    </xf>
    <xf numFmtId="0" fontId="185" fillId="0" borderId="29" xfId="0" applyFont="1" applyBorder="1" applyAlignment="1">
      <alignment horizontal="center" vertical="center" wrapText="1"/>
    </xf>
    <xf numFmtId="0" fontId="185" fillId="0" borderId="259" xfId="0" applyFont="1" applyBorder="1" applyAlignment="1">
      <alignment horizontal="center" vertical="center" wrapText="1"/>
    </xf>
    <xf numFmtId="0" fontId="398" fillId="45" borderId="229" xfId="0" applyFont="1" applyFill="1" applyBorder="1" applyAlignment="1">
      <alignment horizontal="center" vertical="center" wrapText="1"/>
    </xf>
    <xf numFmtId="0" fontId="150" fillId="45" borderId="91" xfId="0" applyFont="1" applyFill="1" applyBorder="1" applyAlignment="1">
      <alignment vertical="center" wrapText="1"/>
    </xf>
    <xf numFmtId="0" fontId="150" fillId="45" borderId="99" xfId="0" applyFont="1" applyFill="1" applyBorder="1" applyAlignment="1">
      <alignment vertical="center" wrapText="1"/>
    </xf>
    <xf numFmtId="0" fontId="234" fillId="0" borderId="15" xfId="0" applyFont="1" applyBorder="1" applyAlignment="1">
      <alignment horizontal="center" vertical="center" wrapText="1"/>
    </xf>
    <xf numFmtId="0" fontId="150" fillId="0" borderId="15" xfId="0" applyFont="1" applyBorder="1" applyAlignment="1"/>
    <xf numFmtId="0" fontId="150" fillId="0" borderId="16" xfId="0" applyFont="1" applyBorder="1" applyAlignment="1"/>
    <xf numFmtId="0" fontId="150" fillId="0" borderId="0" xfId="0" applyFont="1" applyBorder="1" applyAlignment="1"/>
    <xf numFmtId="0" fontId="150" fillId="0" borderId="24" xfId="0" applyFont="1" applyBorder="1" applyAlignment="1"/>
    <xf numFmtId="0" fontId="150" fillId="0" borderId="19" xfId="0" applyFont="1" applyBorder="1" applyAlignment="1"/>
    <xf numFmtId="0" fontId="150" fillId="0" borderId="20" xfId="0" applyFont="1" applyBorder="1" applyAlignment="1"/>
    <xf numFmtId="0" fontId="183" fillId="4" borderId="26" xfId="0" applyFont="1" applyFill="1" applyBorder="1" applyAlignment="1">
      <alignment horizontal="center" vertical="center"/>
    </xf>
    <xf numFmtId="0" fontId="183" fillId="4" borderId="27" xfId="0" applyFont="1" applyFill="1" applyBorder="1" applyAlignment="1">
      <alignment horizontal="center" vertical="center"/>
    </xf>
    <xf numFmtId="0" fontId="83" fillId="0" borderId="26" xfId="0" applyFont="1" applyBorder="1" applyAlignment="1">
      <alignment horizontal="center" vertical="center"/>
    </xf>
    <xf numFmtId="0" fontId="83" fillId="0" borderId="27" xfId="0" applyFont="1" applyBorder="1" applyAlignment="1">
      <alignment horizontal="center" vertical="center"/>
    </xf>
    <xf numFmtId="0" fontId="0" fillId="6" borderId="338" xfId="0" applyFill="1" applyBorder="1" applyAlignment="1">
      <alignment horizontal="center" wrapText="1"/>
    </xf>
    <xf numFmtId="0" fontId="0" fillId="6" borderId="102" xfId="0" applyFill="1" applyBorder="1" applyAlignment="1">
      <alignment horizontal="center" wrapText="1"/>
    </xf>
    <xf numFmtId="0" fontId="263" fillId="4" borderId="139" xfId="0" applyFont="1" applyFill="1" applyBorder="1" applyAlignment="1">
      <alignment horizontal="center" vertical="center" wrapText="1"/>
    </xf>
    <xf numFmtId="0" fontId="308" fillId="4" borderId="140" xfId="0" applyFont="1" applyFill="1" applyBorder="1" applyAlignment="1">
      <alignment horizontal="center" vertical="center" wrapText="1"/>
    </xf>
    <xf numFmtId="0" fontId="308" fillId="4" borderId="254" xfId="0" applyFont="1" applyFill="1" applyBorder="1" applyAlignment="1">
      <alignment horizontal="center" vertical="center" wrapText="1"/>
    </xf>
    <xf numFmtId="0" fontId="273" fillId="6" borderId="139" xfId="0" applyFont="1" applyFill="1" applyBorder="1" applyAlignment="1">
      <alignment horizontal="center" vertical="center" wrapText="1"/>
    </xf>
    <xf numFmtId="0" fontId="273" fillId="0" borderId="140" xfId="0" applyFont="1" applyBorder="1" applyAlignment="1">
      <alignment wrapText="1"/>
    </xf>
    <xf numFmtId="0" fontId="273" fillId="0" borderId="254" xfId="0" applyFont="1" applyBorder="1" applyAlignment="1">
      <alignment wrapText="1"/>
    </xf>
    <xf numFmtId="0" fontId="273" fillId="0" borderId="143" xfId="0" applyFont="1" applyBorder="1" applyAlignment="1">
      <alignment wrapText="1"/>
    </xf>
    <xf numFmtId="0" fontId="273" fillId="0" borderId="29" xfId="0" applyFont="1" applyBorder="1" applyAlignment="1">
      <alignment wrapText="1"/>
    </xf>
    <xf numFmtId="0" fontId="273" fillId="0" borderId="30" xfId="0" applyFont="1" applyBorder="1" applyAlignment="1">
      <alignment wrapText="1"/>
    </xf>
    <xf numFmtId="0" fontId="84" fillId="0" borderId="139" xfId="0" applyFont="1" applyFill="1" applyBorder="1" applyAlignment="1">
      <alignment horizontal="center" vertical="center" wrapText="1"/>
    </xf>
    <xf numFmtId="0" fontId="0" fillId="0" borderId="140" xfId="0" applyFill="1" applyBorder="1" applyAlignment="1">
      <alignment horizontal="center" vertical="center" wrapText="1"/>
    </xf>
    <xf numFmtId="0" fontId="0" fillId="0" borderId="254" xfId="0" applyFill="1" applyBorder="1" applyAlignment="1">
      <alignment horizontal="center" vertical="center" wrapText="1"/>
    </xf>
    <xf numFmtId="0" fontId="84" fillId="4" borderId="139" xfId="0" applyFont="1" applyFill="1" applyBorder="1" applyAlignment="1">
      <alignment horizontal="center" vertical="center" wrapText="1"/>
    </xf>
    <xf numFmtId="0" fontId="0" fillId="4" borderId="140" xfId="0" applyFill="1" applyBorder="1" applyAlignment="1">
      <alignment horizontal="center" vertical="center" wrapText="1"/>
    </xf>
    <xf numFmtId="0" fontId="0" fillId="4" borderId="254" xfId="0" applyFill="1" applyBorder="1" applyAlignment="1">
      <alignment horizontal="center" vertical="center" wrapText="1"/>
    </xf>
    <xf numFmtId="0" fontId="251" fillId="2" borderId="25" xfId="0" applyFont="1" applyFill="1" applyBorder="1" applyAlignment="1">
      <alignment horizontal="center" vertical="center"/>
    </xf>
    <xf numFmtId="0" fontId="251" fillId="2" borderId="26" xfId="0" applyFont="1" applyFill="1" applyBorder="1" applyAlignment="1">
      <alignment horizontal="center" vertical="center"/>
    </xf>
    <xf numFmtId="0" fontId="251" fillId="2" borderId="27" xfId="0" applyFont="1" applyFill="1" applyBorder="1" applyAlignment="1">
      <alignment horizontal="center" vertical="center"/>
    </xf>
    <xf numFmtId="0" fontId="84" fillId="0" borderId="14" xfId="0" applyFont="1" applyBorder="1" applyAlignment="1">
      <alignment horizontal="center" vertical="center" wrapText="1"/>
    </xf>
    <xf numFmtId="0" fontId="84" fillId="0" borderId="16" xfId="0" applyFont="1" applyBorder="1" applyAlignment="1"/>
    <xf numFmtId="0" fontId="84" fillId="0" borderId="18" xfId="0" applyFont="1" applyBorder="1" applyAlignment="1"/>
    <xf numFmtId="0" fontId="84" fillId="0" borderId="20" xfId="0" applyFont="1" applyBorder="1" applyAlignment="1"/>
    <xf numFmtId="0" fontId="155" fillId="6" borderId="202" xfId="0" applyFont="1" applyFill="1" applyBorder="1" applyAlignment="1">
      <alignment horizontal="center" vertical="center" wrapText="1"/>
    </xf>
    <xf numFmtId="0" fontId="92" fillId="6" borderId="23" xfId="0" applyFont="1" applyFill="1" applyBorder="1" applyAlignment="1">
      <alignment vertical="center" wrapText="1"/>
    </xf>
    <xf numFmtId="0" fontId="92" fillId="6" borderId="18" xfId="0" applyFont="1" applyFill="1" applyBorder="1" applyAlignment="1">
      <alignment vertical="center" wrapText="1"/>
    </xf>
    <xf numFmtId="0" fontId="83" fillId="0" borderId="18" xfId="0" applyFont="1" applyFill="1" applyBorder="1" applyAlignment="1">
      <alignment horizontal="center" vertical="top"/>
    </xf>
    <xf numFmtId="0" fontId="0" fillId="0" borderId="20" xfId="0" applyFill="1" applyBorder="1" applyAlignment="1">
      <alignment horizontal="center" vertical="top"/>
    </xf>
    <xf numFmtId="0" fontId="123" fillId="0" borderId="23" xfId="0" applyFont="1" applyFill="1" applyBorder="1" applyAlignment="1">
      <alignment horizontal="center" wrapText="1"/>
    </xf>
    <xf numFmtId="0" fontId="0" fillId="0" borderId="24" xfId="0" applyFill="1" applyBorder="1" applyAlignment="1">
      <alignment horizontal="center"/>
    </xf>
    <xf numFmtId="0" fontId="343" fillId="6" borderId="139" xfId="0" applyFont="1" applyFill="1" applyBorder="1" applyAlignment="1">
      <alignment horizontal="center" vertical="center" wrapText="1"/>
    </xf>
    <xf numFmtId="0" fontId="343" fillId="6" borderId="140" xfId="0" applyFont="1" applyFill="1" applyBorder="1" applyAlignment="1">
      <alignment vertical="center" wrapText="1"/>
    </xf>
    <xf numFmtId="0" fontId="343" fillId="6" borderId="173" xfId="0" applyFont="1" applyFill="1" applyBorder="1" applyAlignment="1">
      <alignment vertical="center" wrapText="1"/>
    </xf>
    <xf numFmtId="0" fontId="84" fillId="0" borderId="176" xfId="0" applyFont="1" applyBorder="1" applyAlignment="1">
      <alignment horizontal="center" vertical="center" wrapText="1"/>
    </xf>
    <xf numFmtId="0" fontId="0" fillId="0" borderId="179" xfId="0" applyBorder="1" applyAlignment="1">
      <alignment horizontal="center" vertical="center" wrapText="1"/>
    </xf>
    <xf numFmtId="0" fontId="155" fillId="9" borderId="22" xfId="0" applyFont="1" applyFill="1" applyBorder="1" applyAlignment="1">
      <alignment horizontal="right" vertical="center" wrapText="1"/>
    </xf>
    <xf numFmtId="0" fontId="155" fillId="9" borderId="38" xfId="0" applyFont="1" applyFill="1" applyBorder="1" applyAlignment="1"/>
    <xf numFmtId="0" fontId="185" fillId="0" borderId="178" xfId="0" applyFont="1" applyBorder="1" applyAlignment="1">
      <alignment horizontal="center" vertical="center" wrapText="1"/>
    </xf>
    <xf numFmtId="0" fontId="185" fillId="0" borderId="180" xfId="0" applyFont="1" applyBorder="1" applyAlignment="1">
      <alignment horizontal="center" vertical="center" wrapText="1"/>
    </xf>
    <xf numFmtId="0" fontId="186" fillId="9" borderId="35" xfId="0" applyFont="1" applyFill="1" applyBorder="1" applyAlignment="1">
      <alignment horizontal="center" vertical="center" wrapText="1"/>
    </xf>
    <xf numFmtId="0" fontId="83" fillId="9" borderId="38" xfId="0" applyFont="1" applyFill="1" applyBorder="1" applyAlignment="1">
      <alignment horizontal="center" vertical="center" wrapText="1"/>
    </xf>
    <xf numFmtId="0" fontId="84" fillId="9" borderId="176" xfId="0" applyFont="1" applyFill="1" applyBorder="1" applyAlignment="1">
      <alignment horizontal="center" vertical="center" wrapText="1"/>
    </xf>
    <xf numFmtId="0" fontId="83" fillId="0" borderId="179" xfId="0" applyFont="1" applyBorder="1" applyAlignment="1">
      <alignment horizontal="center" vertical="center" wrapText="1"/>
    </xf>
    <xf numFmtId="166" fontId="129" fillId="49" borderId="27" xfId="0" applyNumberFormat="1" applyFont="1" applyFill="1" applyBorder="1" applyAlignment="1">
      <alignment horizontal="center" vertical="center" wrapText="1"/>
    </xf>
    <xf numFmtId="0" fontId="70" fillId="49" borderId="25" xfId="0" applyFont="1" applyFill="1" applyBorder="1" applyAlignment="1">
      <alignment horizontal="center" vertical="center" wrapText="1"/>
    </xf>
    <xf numFmtId="0" fontId="275" fillId="49" borderId="16" xfId="0" applyFont="1" applyFill="1" applyBorder="1" applyAlignment="1">
      <alignment horizontal="center" vertical="center" wrapText="1"/>
    </xf>
    <xf numFmtId="0" fontId="70" fillId="49" borderId="14" xfId="0" applyFont="1" applyFill="1" applyBorder="1" applyAlignment="1">
      <alignment horizontal="center" vertical="center" wrapText="1"/>
    </xf>
    <xf numFmtId="0" fontId="256" fillId="2" borderId="177" xfId="0" applyFont="1" applyFill="1" applyBorder="1" applyAlignment="1">
      <alignment horizontal="center" vertical="center" wrapText="1"/>
    </xf>
    <xf numFmtId="0" fontId="88" fillId="2" borderId="155" xfId="0" applyFont="1" applyFill="1" applyBorder="1" applyAlignment="1">
      <alignment horizontal="center" vertical="center" wrapText="1"/>
    </xf>
    <xf numFmtId="0" fontId="88" fillId="2" borderId="179" xfId="0" applyFont="1" applyFill="1" applyBorder="1" applyAlignment="1">
      <alignment horizontal="center" vertical="center" wrapText="1"/>
    </xf>
    <xf numFmtId="0" fontId="399" fillId="49" borderId="0" xfId="0" applyFont="1" applyFill="1" applyBorder="1" applyAlignment="1">
      <alignment horizontal="center" vertical="top" wrapText="1"/>
    </xf>
    <xf numFmtId="0" fontId="399" fillId="0" borderId="0" xfId="0" applyFont="1" applyAlignment="1">
      <alignment horizontal="center" vertical="top"/>
    </xf>
    <xf numFmtId="0" fontId="123" fillId="6" borderId="256" xfId="0" applyFont="1" applyFill="1" applyBorder="1" applyAlignment="1">
      <alignment horizontal="center" vertical="center" wrapText="1"/>
    </xf>
    <xf numFmtId="0" fontId="0" fillId="0" borderId="112" xfId="0" applyBorder="1" applyAlignment="1">
      <alignment horizontal="center"/>
    </xf>
    <xf numFmtId="0" fontId="184" fillId="2" borderId="22" xfId="0" applyFont="1" applyFill="1" applyBorder="1" applyAlignment="1">
      <alignment horizontal="center" vertical="center" wrapText="1"/>
    </xf>
    <xf numFmtId="0" fontId="0" fillId="0" borderId="22" xfId="0" applyBorder="1" applyAlignment="1">
      <alignment horizontal="center" vertical="center" wrapText="1"/>
    </xf>
    <xf numFmtId="166" fontId="234" fillId="8" borderId="22" xfId="0" applyNumberFormat="1" applyFont="1" applyFill="1" applyBorder="1" applyAlignment="1">
      <alignment horizontal="center" vertical="center"/>
    </xf>
    <xf numFmtId="0" fontId="151" fillId="0" borderId="22" xfId="0" applyFont="1" applyBorder="1" applyAlignment="1">
      <alignment horizontal="center" vertical="center"/>
    </xf>
    <xf numFmtId="0" fontId="286" fillId="2" borderId="257" xfId="0" applyFont="1" applyFill="1" applyBorder="1" applyAlignment="1">
      <alignment horizontal="center" vertical="center" wrapText="1"/>
    </xf>
    <xf numFmtId="0" fontId="87" fillId="2" borderId="194" xfId="0" applyFont="1" applyFill="1" applyBorder="1" applyAlignment="1"/>
    <xf numFmtId="0" fontId="87" fillId="2" borderId="258" xfId="0" applyFont="1" applyFill="1" applyBorder="1" applyAlignment="1"/>
    <xf numFmtId="0" fontId="286" fillId="2" borderId="176" xfId="0" applyFont="1" applyFill="1" applyBorder="1" applyAlignment="1">
      <alignment horizontal="center" vertical="center" wrapText="1"/>
    </xf>
    <xf numFmtId="0" fontId="87" fillId="2" borderId="155" xfId="0" applyFont="1" applyFill="1" applyBorder="1" applyAlignment="1"/>
    <xf numFmtId="0" fontId="87" fillId="2" borderId="328" xfId="0" applyFont="1" applyFill="1" applyBorder="1" applyAlignment="1"/>
    <xf numFmtId="0" fontId="78" fillId="0" borderId="0" xfId="0" applyFont="1" applyBorder="1" applyAlignment="1">
      <alignment horizontal="left" vertical="center" textRotation="90"/>
    </xf>
    <xf numFmtId="0" fontId="0" fillId="44" borderId="14" xfId="0" applyFill="1" applyBorder="1" applyAlignment="1">
      <alignment horizontal="center" vertical="center" wrapText="1"/>
    </xf>
    <xf numFmtId="0" fontId="0" fillId="44" borderId="16" xfId="0" applyFill="1" applyBorder="1" applyAlignment="1">
      <alignment horizontal="center" vertical="center" wrapText="1"/>
    </xf>
    <xf numFmtId="0" fontId="0" fillId="44" borderId="23" xfId="0" applyFill="1" applyBorder="1" applyAlignment="1">
      <alignment horizontal="center" vertical="center" wrapText="1"/>
    </xf>
    <xf numFmtId="0" fontId="0" fillId="44" borderId="24" xfId="0" applyFill="1" applyBorder="1" applyAlignment="1">
      <alignment horizontal="center" vertical="center" wrapText="1"/>
    </xf>
    <xf numFmtId="0" fontId="123" fillId="6" borderId="17" xfId="0" applyFont="1" applyFill="1" applyBorder="1" applyAlignment="1">
      <alignment horizontal="center" vertical="center" wrapText="1"/>
    </xf>
    <xf numFmtId="0" fontId="0" fillId="0" borderId="86" xfId="0" applyBorder="1" applyAlignment="1">
      <alignment horizontal="center"/>
    </xf>
    <xf numFmtId="0" fontId="0" fillId="0" borderId="21" xfId="0" applyBorder="1" applyAlignment="1">
      <alignment horizontal="center"/>
    </xf>
    <xf numFmtId="0" fontId="123" fillId="6" borderId="86" xfId="0" applyFont="1" applyFill="1" applyBorder="1" applyAlignment="1">
      <alignment horizontal="center" vertical="center" wrapText="1"/>
    </xf>
    <xf numFmtId="0" fontId="0" fillId="6" borderId="86" xfId="0" applyFill="1" applyBorder="1" applyAlignment="1">
      <alignment horizontal="center"/>
    </xf>
    <xf numFmtId="0" fontId="0" fillId="6" borderId="21" xfId="0" applyFill="1" applyBorder="1" applyAlignment="1">
      <alignment horizontal="center"/>
    </xf>
    <xf numFmtId="166" fontId="253" fillId="12" borderId="17" xfId="0" applyNumberFormat="1" applyFont="1" applyFill="1" applyBorder="1" applyAlignment="1">
      <alignment horizontal="center" vertical="center"/>
    </xf>
    <xf numFmtId="166" fontId="253" fillId="12" borderId="86" xfId="0" applyNumberFormat="1" applyFont="1" applyFill="1" applyBorder="1" applyAlignment="1">
      <alignment horizontal="center" vertical="center"/>
    </xf>
    <xf numFmtId="0" fontId="253" fillId="12" borderId="86" xfId="0" applyFont="1" applyFill="1" applyBorder="1" applyAlignment="1"/>
    <xf numFmtId="0" fontId="253" fillId="12" borderId="21" xfId="0" applyFont="1" applyFill="1" applyBorder="1" applyAlignment="1"/>
    <xf numFmtId="9" fontId="83" fillId="8" borderId="17" xfId="67" applyFont="1" applyFill="1" applyBorder="1" applyAlignment="1">
      <alignment horizontal="center" vertical="center"/>
    </xf>
    <xf numFmtId="0" fontId="0" fillId="0" borderId="86" xfId="0" applyBorder="1" applyAlignment="1"/>
    <xf numFmtId="0" fontId="0" fillId="0" borderId="21" xfId="0" applyBorder="1" applyAlignment="1"/>
    <xf numFmtId="0" fontId="0" fillId="0" borderId="16"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3" xfId="0" applyBorder="1" applyAlignment="1">
      <alignment vertical="center"/>
    </xf>
    <xf numFmtId="0" fontId="0" fillId="0" borderId="24" xfId="0" applyBorder="1" applyAlignment="1">
      <alignment vertical="center"/>
    </xf>
    <xf numFmtId="0" fontId="155" fillId="43" borderId="202" xfId="0" applyFont="1" applyFill="1" applyBorder="1" applyAlignment="1">
      <alignment horizontal="center" vertical="top"/>
    </xf>
    <xf numFmtId="0" fontId="344" fillId="0" borderId="170" xfId="0" applyFont="1" applyBorder="1" applyAlignment="1"/>
    <xf numFmtId="0" fontId="185" fillId="6" borderId="139" xfId="0" applyFont="1" applyFill="1" applyBorder="1" applyAlignment="1">
      <alignment horizontal="center" vertical="center" wrapText="1"/>
    </xf>
    <xf numFmtId="0" fontId="155" fillId="0" borderId="173" xfId="0" applyFont="1" applyBorder="1" applyAlignment="1">
      <alignment horizontal="center" vertical="center" wrapText="1"/>
    </xf>
    <xf numFmtId="0" fontId="155" fillId="0" borderId="250" xfId="0" applyFont="1" applyBorder="1" applyAlignment="1">
      <alignment horizontal="center" vertical="center" wrapText="1"/>
    </xf>
    <xf numFmtId="0" fontId="155" fillId="0" borderId="102" xfId="0" applyFont="1" applyBorder="1" applyAlignment="1">
      <alignment horizontal="center" vertical="center" wrapText="1"/>
    </xf>
    <xf numFmtId="0" fontId="185" fillId="6" borderId="147" xfId="0" applyFont="1" applyFill="1" applyBorder="1" applyAlignment="1">
      <alignment horizontal="center" vertical="center" wrapText="1"/>
    </xf>
    <xf numFmtId="0" fontId="198" fillId="11" borderId="150" xfId="0" applyFont="1" applyFill="1" applyBorder="1" applyAlignment="1">
      <alignment horizontal="center" vertical="top"/>
    </xf>
    <xf numFmtId="0" fontId="198" fillId="11" borderId="209" xfId="0" applyFont="1" applyFill="1" applyBorder="1" applyAlignment="1">
      <alignment horizontal="center" vertical="top"/>
    </xf>
    <xf numFmtId="0" fontId="155" fillId="6" borderId="325" xfId="0" applyFont="1" applyFill="1" applyBorder="1" applyAlignment="1">
      <alignment horizontal="center" vertical="center" wrapText="1"/>
    </xf>
    <xf numFmtId="0" fontId="155" fillId="6" borderId="185" xfId="0" applyFont="1" applyFill="1" applyBorder="1" applyAlignment="1">
      <alignment horizontal="center" vertical="center" wrapText="1"/>
    </xf>
    <xf numFmtId="0" fontId="155" fillId="6" borderId="326" xfId="0" applyFont="1" applyFill="1" applyBorder="1" applyAlignment="1">
      <alignment horizontal="center" vertical="center" wrapText="1"/>
    </xf>
    <xf numFmtId="0" fontId="79" fillId="2" borderId="194" xfId="0" applyFont="1" applyFill="1" applyBorder="1" applyAlignment="1">
      <alignment horizontal="center" vertical="center" textRotation="90"/>
    </xf>
    <xf numFmtId="0" fontId="154" fillId="2" borderId="194" xfId="0" applyFont="1" applyFill="1" applyBorder="1" applyAlignment="1">
      <alignment horizontal="center" vertical="center" textRotation="90"/>
    </xf>
    <xf numFmtId="0" fontId="154" fillId="2" borderId="197" xfId="0" applyFont="1" applyFill="1" applyBorder="1" applyAlignment="1">
      <alignment horizontal="center" vertical="center" textRotation="90"/>
    </xf>
    <xf numFmtId="0" fontId="138" fillId="0" borderId="223" xfId="0" applyFont="1" applyFill="1" applyBorder="1" applyAlignment="1">
      <alignment horizontal="center" vertical="center" wrapText="1"/>
    </xf>
    <xf numFmtId="0" fontId="124" fillId="0" borderId="216" xfId="0" applyFont="1" applyBorder="1" applyAlignment="1">
      <alignment horizontal="center" vertical="center" wrapText="1"/>
    </xf>
    <xf numFmtId="0" fontId="138" fillId="0" borderId="224" xfId="0" applyFont="1" applyFill="1" applyBorder="1" applyAlignment="1">
      <alignment horizontal="center" vertical="center" wrapText="1"/>
    </xf>
    <xf numFmtId="0" fontId="124" fillId="0" borderId="217" xfId="0" applyFont="1" applyBorder="1" applyAlignment="1">
      <alignment horizontal="center" vertical="center" wrapText="1"/>
    </xf>
    <xf numFmtId="0" fontId="426" fillId="2" borderId="206" xfId="0" applyFont="1" applyFill="1" applyBorder="1" applyAlignment="1">
      <alignment horizontal="center" vertical="center" wrapText="1"/>
    </xf>
    <xf numFmtId="0" fontId="162" fillId="2" borderId="203" xfId="0" applyFont="1" applyFill="1" applyBorder="1" applyAlignment="1">
      <alignment horizontal="center" vertical="center" wrapText="1"/>
    </xf>
    <xf numFmtId="0" fontId="162" fillId="2" borderId="207" xfId="0" applyFont="1" applyFill="1" applyBorder="1" applyAlignment="1">
      <alignment horizontal="center" vertical="center" wrapText="1"/>
    </xf>
    <xf numFmtId="0" fontId="162" fillId="2" borderId="187" xfId="0" applyFont="1" applyFill="1" applyBorder="1" applyAlignment="1">
      <alignment horizontal="center" vertical="center" wrapText="1"/>
    </xf>
    <xf numFmtId="0" fontId="162" fillId="2" borderId="0" xfId="0" applyFont="1" applyFill="1" applyBorder="1" applyAlignment="1">
      <alignment horizontal="center" vertical="center" wrapText="1"/>
    </xf>
    <xf numFmtId="0" fontId="162" fillId="2" borderId="208" xfId="0" applyFont="1" applyFill="1" applyBorder="1" applyAlignment="1">
      <alignment horizontal="center" vertical="center" wrapText="1"/>
    </xf>
    <xf numFmtId="0" fontId="162" fillId="2" borderId="211" xfId="0" applyFont="1" applyFill="1" applyBorder="1" applyAlignment="1">
      <alignment horizontal="center" vertical="center" wrapText="1"/>
    </xf>
    <xf numFmtId="0" fontId="162" fillId="2" borderId="29" xfId="0" applyFont="1" applyFill="1" applyBorder="1" applyAlignment="1">
      <alignment horizontal="center" vertical="center" wrapText="1"/>
    </xf>
    <xf numFmtId="0" fontId="162" fillId="2" borderId="188" xfId="0" applyFont="1" applyFill="1" applyBorder="1" applyAlignment="1">
      <alignment horizontal="center" vertical="center" wrapText="1"/>
    </xf>
    <xf numFmtId="0" fontId="138" fillId="0" borderId="214" xfId="0" applyFont="1" applyFill="1" applyBorder="1" applyAlignment="1">
      <alignment horizontal="center" vertical="center" wrapText="1"/>
    </xf>
    <xf numFmtId="0" fontId="155" fillId="11" borderId="26" xfId="0" applyFont="1" applyFill="1" applyBorder="1" applyAlignment="1">
      <alignment horizontal="center" vertical="center"/>
    </xf>
    <xf numFmtId="0" fontId="155" fillId="11" borderId="19" xfId="0" applyFont="1" applyFill="1" applyBorder="1" applyAlignment="1">
      <alignment horizontal="center" vertical="center"/>
    </xf>
    <xf numFmtId="0" fontId="138" fillId="0" borderId="215" xfId="0" applyFont="1" applyFill="1" applyBorder="1" applyAlignment="1">
      <alignment horizontal="center" vertical="center" wrapText="1"/>
    </xf>
    <xf numFmtId="0" fontId="124" fillId="0" borderId="218" xfId="0" applyFont="1" applyBorder="1" applyAlignment="1">
      <alignment horizontal="center" vertical="center" wrapText="1"/>
    </xf>
    <xf numFmtId="0" fontId="124" fillId="0" borderId="222" xfId="0" applyFont="1" applyBorder="1" applyAlignment="1">
      <alignment horizontal="center" vertical="center" wrapText="1"/>
    </xf>
    <xf numFmtId="0" fontId="138" fillId="0" borderId="225" xfId="0" applyFont="1" applyFill="1" applyBorder="1" applyAlignment="1">
      <alignment horizontal="center" vertical="center" wrapText="1"/>
    </xf>
    <xf numFmtId="0" fontId="138" fillId="0" borderId="218" xfId="0" applyFont="1" applyFill="1" applyBorder="1" applyAlignment="1">
      <alignment horizontal="center" vertical="center" wrapText="1"/>
    </xf>
    <xf numFmtId="0" fontId="138" fillId="0" borderId="228" xfId="0" applyFont="1" applyFill="1" applyBorder="1" applyAlignment="1">
      <alignment horizontal="center" vertical="center" wrapText="1"/>
    </xf>
    <xf numFmtId="0" fontId="374" fillId="0" borderId="159" xfId="0" applyFont="1" applyBorder="1" applyAlignment="1">
      <alignment horizontal="right" vertical="center" wrapText="1"/>
    </xf>
    <xf numFmtId="0" fontId="83" fillId="0" borderId="22" xfId="0" applyFont="1" applyBorder="1" applyAlignment="1">
      <alignment horizontal="right"/>
    </xf>
    <xf numFmtId="0" fontId="168" fillId="2" borderId="159" xfId="0" applyFont="1" applyFill="1" applyBorder="1" applyAlignment="1">
      <alignment horizontal="right" vertical="center" wrapText="1"/>
    </xf>
    <xf numFmtId="0" fontId="183" fillId="2" borderId="22" xfId="0" applyFont="1" applyFill="1" applyBorder="1" applyAlignment="1">
      <alignment horizontal="right"/>
    </xf>
    <xf numFmtId="0" fontId="349" fillId="39" borderId="147" xfId="0" applyFont="1" applyFill="1" applyBorder="1" applyAlignment="1">
      <alignment horizontal="center" vertical="center" wrapText="1"/>
    </xf>
    <xf numFmtId="0" fontId="209" fillId="39" borderId="140" xfId="0" applyFont="1" applyFill="1" applyBorder="1" applyAlignment="1">
      <alignment horizontal="center" vertical="center" wrapText="1"/>
    </xf>
    <xf numFmtId="0" fontId="209" fillId="39" borderId="212" xfId="0" applyFont="1" applyFill="1" applyBorder="1" applyAlignment="1">
      <alignment horizontal="center" vertical="center" wrapText="1"/>
    </xf>
    <xf numFmtId="0" fontId="209" fillId="39" borderId="23" xfId="0" applyFont="1" applyFill="1" applyBorder="1" applyAlignment="1">
      <alignment horizontal="center" vertical="center" wrapText="1"/>
    </xf>
    <xf numFmtId="0" fontId="209" fillId="39" borderId="0" xfId="0" applyFont="1" applyFill="1" applyBorder="1" applyAlignment="1">
      <alignment horizontal="center" vertical="center" wrapText="1"/>
    </xf>
    <xf numFmtId="0" fontId="209" fillId="39" borderId="208" xfId="0" applyFont="1" applyFill="1" applyBorder="1" applyAlignment="1">
      <alignment horizontal="center" vertical="center" wrapText="1"/>
    </xf>
    <xf numFmtId="0" fontId="209" fillId="39" borderId="18" xfId="0" applyFont="1" applyFill="1" applyBorder="1" applyAlignment="1">
      <alignment horizontal="center" vertical="center" wrapText="1"/>
    </xf>
    <xf numFmtId="0" fontId="198" fillId="11" borderId="139" xfId="0" applyFont="1" applyFill="1" applyBorder="1" applyAlignment="1">
      <alignment horizontal="center" vertical="top" wrapText="1"/>
    </xf>
    <xf numFmtId="0" fontId="198" fillId="11" borderId="212" xfId="0" applyFont="1" applyFill="1" applyBorder="1" applyAlignment="1">
      <alignment horizontal="center" vertical="top" wrapText="1"/>
    </xf>
    <xf numFmtId="0" fontId="83" fillId="0" borderId="206" xfId="0" applyFont="1" applyBorder="1" applyAlignment="1">
      <alignment horizontal="center" vertical="center" wrapText="1"/>
    </xf>
    <xf numFmtId="0" fontId="83" fillId="0" borderId="203" xfId="0" applyFont="1" applyBorder="1" applyAlignment="1">
      <alignment horizontal="center" vertical="center" wrapText="1"/>
    </xf>
    <xf numFmtId="0" fontId="83" fillId="0" borderId="203" xfId="0" applyFont="1" applyBorder="1" applyAlignment="1"/>
    <xf numFmtId="0" fontId="0" fillId="0" borderId="207" xfId="0" applyBorder="1" applyAlignment="1"/>
    <xf numFmtId="0" fontId="83" fillId="0" borderId="187" xfId="0" applyFont="1" applyBorder="1" applyAlignment="1">
      <alignment horizontal="center" vertical="center" wrapText="1"/>
    </xf>
    <xf numFmtId="0" fontId="83" fillId="0" borderId="0" xfId="0" applyFont="1" applyBorder="1" applyAlignment="1">
      <alignment horizontal="center" vertical="center" wrapText="1"/>
    </xf>
    <xf numFmtId="0" fontId="83" fillId="0" borderId="0" xfId="0" applyFont="1" applyBorder="1" applyAlignment="1"/>
    <xf numFmtId="0" fontId="0" fillId="0" borderId="208" xfId="0" applyBorder="1" applyAlignment="1"/>
    <xf numFmtId="0" fontId="152" fillId="64" borderId="190" xfId="0" applyFont="1" applyFill="1" applyBorder="1" applyAlignment="1">
      <alignment horizontal="center" vertical="center"/>
    </xf>
    <xf numFmtId="0" fontId="152" fillId="64" borderId="191" xfId="0" applyFont="1" applyFill="1" applyBorder="1" applyAlignment="1">
      <alignment horizontal="center" vertical="center"/>
    </xf>
    <xf numFmtId="0" fontId="227" fillId="0" borderId="233" xfId="0" applyFont="1" applyBorder="1" applyAlignment="1">
      <alignment horizontal="center" vertical="top" wrapText="1"/>
    </xf>
    <xf numFmtId="0" fontId="375" fillId="0" borderId="156" xfId="0" applyFont="1" applyBorder="1" applyAlignment="1">
      <alignment horizontal="right" vertical="center"/>
    </xf>
    <xf numFmtId="0" fontId="83" fillId="0" borderId="144" xfId="0" applyFont="1" applyBorder="1" applyAlignment="1">
      <alignment horizontal="right"/>
    </xf>
    <xf numFmtId="0" fontId="375" fillId="0" borderId="159" xfId="0" applyFont="1" applyBorder="1" applyAlignment="1">
      <alignment horizontal="right" vertical="center" wrapText="1"/>
    </xf>
    <xf numFmtId="0" fontId="168" fillId="2" borderId="198" xfId="0" applyFont="1" applyFill="1" applyBorder="1" applyAlignment="1">
      <alignment horizontal="right" vertical="center" wrapText="1"/>
    </xf>
    <xf numFmtId="0" fontId="183" fillId="2" borderId="199" xfId="0" applyFont="1" applyFill="1" applyBorder="1" applyAlignment="1">
      <alignment horizontal="right"/>
    </xf>
    <xf numFmtId="0" fontId="123" fillId="9" borderId="111" xfId="0" applyFont="1" applyFill="1" applyBorder="1" applyAlignment="1">
      <alignment horizontal="center" wrapText="1"/>
    </xf>
    <xf numFmtId="0" fontId="138" fillId="0" borderId="213" xfId="0" applyFont="1" applyBorder="1" applyAlignment="1">
      <alignment horizontal="center" vertical="center" wrapText="1"/>
    </xf>
    <xf numFmtId="0" fontId="152" fillId="2" borderId="189" xfId="0" applyFont="1" applyFill="1" applyBorder="1" applyAlignment="1">
      <alignment horizontal="center" vertical="center"/>
    </xf>
    <xf numFmtId="0" fontId="152" fillId="2" borderId="190" xfId="0" applyFont="1" applyFill="1" applyBorder="1" applyAlignment="1">
      <alignment horizontal="center" vertical="center"/>
    </xf>
    <xf numFmtId="0" fontId="152" fillId="2" borderId="191" xfId="0" applyFont="1" applyFill="1" applyBorder="1" applyAlignment="1">
      <alignment horizontal="center" vertical="center"/>
    </xf>
    <xf numFmtId="0" fontId="161" fillId="2" borderId="203" xfId="0" applyFont="1" applyFill="1" applyBorder="1" applyAlignment="1">
      <alignment horizontal="center" vertical="center" wrapText="1"/>
    </xf>
    <xf numFmtId="0" fontId="161" fillId="2" borderId="207" xfId="0" applyFont="1" applyFill="1" applyBorder="1" applyAlignment="1">
      <alignment horizontal="center" vertical="center" wrapText="1"/>
    </xf>
    <xf numFmtId="0" fontId="161" fillId="2" borderId="187" xfId="0" applyFont="1" applyFill="1" applyBorder="1" applyAlignment="1">
      <alignment horizontal="center" vertical="center" wrapText="1"/>
    </xf>
    <xf numFmtId="0" fontId="161" fillId="2" borderId="0" xfId="0" applyFont="1" applyFill="1" applyBorder="1" applyAlignment="1">
      <alignment horizontal="center" vertical="center" wrapText="1"/>
    </xf>
    <xf numFmtId="0" fontId="161" fillId="2" borderId="208" xfId="0" applyFont="1" applyFill="1" applyBorder="1" applyAlignment="1">
      <alignment horizontal="center" vertical="center" wrapText="1"/>
    </xf>
    <xf numFmtId="0" fontId="161" fillId="2" borderId="211" xfId="0" applyFont="1" applyFill="1" applyBorder="1" applyAlignment="1">
      <alignment horizontal="center" vertical="center" wrapText="1"/>
    </xf>
    <xf numFmtId="0" fontId="161" fillId="2" borderId="29" xfId="0" applyFont="1" applyFill="1" applyBorder="1" applyAlignment="1">
      <alignment horizontal="center" vertical="center" wrapText="1"/>
    </xf>
    <xf numFmtId="0" fontId="161" fillId="2" borderId="188" xfId="0" applyFont="1" applyFill="1" applyBorder="1" applyAlignment="1">
      <alignment horizontal="center" vertical="center" wrapText="1"/>
    </xf>
    <xf numFmtId="0" fontId="257" fillId="11" borderId="103" xfId="0" applyFont="1" applyFill="1" applyBorder="1" applyAlignment="1">
      <alignment horizontal="center" vertical="center" wrapText="1"/>
    </xf>
    <xf numFmtId="0" fontId="257" fillId="11" borderId="116" xfId="0" applyFont="1" applyFill="1" applyBorder="1" applyAlignment="1">
      <alignment horizontal="center" vertical="center" wrapText="1"/>
    </xf>
    <xf numFmtId="0" fontId="84" fillId="6" borderId="173" xfId="0" applyFont="1" applyFill="1" applyBorder="1" applyAlignment="1">
      <alignment horizontal="center" vertical="center" textRotation="90" wrapText="1"/>
    </xf>
    <xf numFmtId="0" fontId="84" fillId="6" borderId="102" xfId="0" applyFont="1" applyFill="1" applyBorder="1" applyAlignment="1">
      <alignment horizontal="center" vertical="center" textRotation="90" wrapText="1"/>
    </xf>
    <xf numFmtId="0" fontId="92" fillId="0" borderId="231" xfId="0" applyFont="1" applyFill="1" applyBorder="1" applyAlignment="1">
      <alignment horizontal="center" vertical="center"/>
    </xf>
    <xf numFmtId="0" fontId="92" fillId="0" borderId="21" xfId="0" applyFont="1" applyFill="1" applyBorder="1" applyAlignment="1"/>
    <xf numFmtId="0" fontId="70" fillId="0" borderId="205" xfId="0" applyFont="1" applyBorder="1" applyAlignment="1">
      <alignment horizontal="center" vertical="center" wrapText="1"/>
    </xf>
    <xf numFmtId="0" fontId="70" fillId="0" borderId="232" xfId="0" applyFont="1" applyBorder="1" applyAlignment="1">
      <alignment horizontal="center" vertical="center" wrapText="1"/>
    </xf>
    <xf numFmtId="0" fontId="92" fillId="0" borderId="196" xfId="0" applyFont="1" applyFill="1" applyBorder="1" applyAlignment="1">
      <alignment horizontal="center" vertical="center"/>
    </xf>
    <xf numFmtId="0" fontId="92" fillId="0" borderId="22" xfId="0" applyFont="1" applyFill="1" applyBorder="1" applyAlignment="1"/>
    <xf numFmtId="0" fontId="92" fillId="0" borderId="201" xfId="0" applyFont="1" applyFill="1" applyBorder="1" applyAlignment="1">
      <alignment horizontal="center" vertical="center"/>
    </xf>
    <xf numFmtId="0" fontId="92" fillId="0" borderId="199" xfId="0" applyFont="1" applyFill="1" applyBorder="1" applyAlignment="1"/>
    <xf numFmtId="0" fontId="70" fillId="0" borderId="14" xfId="0" applyFont="1" applyBorder="1" applyAlignment="1">
      <alignment horizontal="left" vertical="center" wrapText="1" indent="2"/>
    </xf>
    <xf numFmtId="0" fontId="0" fillId="0" borderId="15" xfId="0" applyBorder="1" applyAlignment="1">
      <alignment horizontal="left" vertical="center" indent="2"/>
    </xf>
    <xf numFmtId="0" fontId="0" fillId="0" borderId="16" xfId="0" applyBorder="1" applyAlignment="1">
      <alignment horizontal="left" vertical="center" indent="2"/>
    </xf>
    <xf numFmtId="0" fontId="0" fillId="0" borderId="18" xfId="0" applyBorder="1" applyAlignment="1">
      <alignment horizontal="left" vertical="center" indent="2"/>
    </xf>
    <xf numFmtId="0" fontId="0" fillId="0" borderId="19" xfId="0" applyBorder="1" applyAlignment="1">
      <alignment horizontal="left" vertical="center" indent="2"/>
    </xf>
    <xf numFmtId="0" fontId="0" fillId="0" borderId="20" xfId="0" applyBorder="1" applyAlignment="1">
      <alignment horizontal="left" vertical="center" indent="2"/>
    </xf>
    <xf numFmtId="0" fontId="52" fillId="0" borderId="199" xfId="0" applyFont="1" applyBorder="1" applyAlignment="1">
      <alignment horizontal="left" vertical="center" wrapText="1"/>
    </xf>
    <xf numFmtId="0" fontId="52" fillId="0" borderId="236" xfId="0" applyFont="1" applyBorder="1" applyAlignment="1">
      <alignment horizontal="left" vertical="center" wrapText="1"/>
    </xf>
    <xf numFmtId="0" fontId="92" fillId="0" borderId="25" xfId="0" applyFont="1" applyBorder="1" applyAlignment="1">
      <alignment horizontal="center" vertical="center" wrapText="1"/>
    </xf>
    <xf numFmtId="0" fontId="92" fillId="0" borderId="235" xfId="0" applyFont="1" applyBorder="1" applyAlignment="1">
      <alignment horizontal="center" vertical="center" wrapText="1"/>
    </xf>
    <xf numFmtId="0" fontId="213" fillId="0" borderId="150" xfId="0" applyFont="1" applyBorder="1" applyAlignment="1">
      <alignment horizontal="center" vertical="center"/>
    </xf>
    <xf numFmtId="0" fontId="213" fillId="0" borderId="151" xfId="0" applyFont="1" applyBorder="1" applyAlignment="1">
      <alignment horizontal="center" vertical="center"/>
    </xf>
    <xf numFmtId="0" fontId="213" fillId="0" borderId="152" xfId="0" applyFont="1" applyBorder="1" applyAlignment="1">
      <alignment horizontal="center" vertical="center"/>
    </xf>
    <xf numFmtId="0" fontId="152" fillId="2" borderId="250" xfId="0" applyFont="1" applyFill="1" applyBorder="1" applyAlignment="1">
      <alignment horizontal="center" vertical="center"/>
    </xf>
    <xf numFmtId="0" fontId="152" fillId="2" borderId="0" xfId="0" applyFont="1" applyFill="1" applyBorder="1" applyAlignment="1">
      <alignment horizontal="center" vertical="center"/>
    </xf>
    <xf numFmtId="0" fontId="152" fillId="2" borderId="173" xfId="0" applyFont="1" applyFill="1" applyBorder="1" applyAlignment="1">
      <alignment horizontal="center" vertical="center"/>
    </xf>
    <xf numFmtId="0" fontId="213" fillId="0" borderId="139" xfId="0" applyFont="1" applyFill="1" applyBorder="1" applyAlignment="1">
      <alignment horizontal="right" vertical="center"/>
    </xf>
    <xf numFmtId="0" fontId="124" fillId="0" borderId="254" xfId="0" applyFont="1" applyBorder="1" applyAlignment="1"/>
    <xf numFmtId="0" fontId="210" fillId="9" borderId="31" xfId="0" applyFont="1" applyFill="1" applyBorder="1" applyAlignment="1">
      <alignment horizontal="right" vertical="center" wrapText="1"/>
    </xf>
    <xf numFmtId="0" fontId="92" fillId="9" borderId="204" xfId="0" applyFont="1" applyFill="1" applyBorder="1" applyAlignment="1">
      <alignment horizontal="right" vertical="center" wrapText="1"/>
    </xf>
    <xf numFmtId="0" fontId="210" fillId="9" borderId="54" xfId="0" applyFont="1" applyFill="1" applyBorder="1" applyAlignment="1">
      <alignment horizontal="right" vertical="center" wrapText="1"/>
    </xf>
    <xf numFmtId="0" fontId="92" fillId="9" borderId="54" xfId="0" applyFont="1" applyFill="1" applyBorder="1" applyAlignment="1">
      <alignment horizontal="right" vertical="center" wrapText="1"/>
    </xf>
    <xf numFmtId="0" fontId="155" fillId="0" borderId="0" xfId="0" applyFont="1" applyFill="1" applyBorder="1" applyAlignment="1">
      <alignment horizontal="center" vertical="top" wrapText="1"/>
    </xf>
    <xf numFmtId="0" fontId="0" fillId="0" borderId="0" xfId="0" applyFill="1" applyBorder="1" applyAlignment="1">
      <alignment wrapText="1"/>
    </xf>
    <xf numFmtId="0" fontId="198" fillId="18" borderId="376" xfId="0" applyFont="1" applyFill="1" applyBorder="1" applyAlignment="1">
      <alignment horizontal="right" vertical="center"/>
    </xf>
    <xf numFmtId="0" fontId="0" fillId="18" borderId="190" xfId="0" applyFill="1" applyBorder="1" applyAlignment="1">
      <alignment horizontal="right" vertical="center"/>
    </xf>
    <xf numFmtId="0" fontId="0" fillId="0" borderId="0" xfId="0" applyBorder="1" applyAlignment="1"/>
    <xf numFmtId="0" fontId="84" fillId="6" borderId="171" xfId="0" applyFont="1" applyFill="1" applyBorder="1" applyAlignment="1">
      <alignment horizontal="center" vertical="center" textRotation="90" wrapText="1"/>
    </xf>
    <xf numFmtId="0" fontId="0" fillId="0" borderId="183" xfId="0" applyBorder="1" applyAlignment="1">
      <alignment horizontal="center" vertical="center" textRotation="90" wrapText="1"/>
    </xf>
    <xf numFmtId="0" fontId="152" fillId="2" borderId="174" xfId="0" applyFont="1" applyFill="1" applyBorder="1" applyAlignment="1">
      <alignment horizontal="center" vertical="center"/>
    </xf>
    <xf numFmtId="0" fontId="83" fillId="0" borderId="111" xfId="0" applyFont="1" applyBorder="1" applyAlignment="1">
      <alignment horizontal="center" vertical="center"/>
    </xf>
    <xf numFmtId="0" fontId="83" fillId="0" borderId="375" xfId="0" applyFont="1" applyBorder="1" applyAlignment="1">
      <alignment horizontal="center" vertical="center"/>
    </xf>
    <xf numFmtId="0" fontId="347" fillId="11" borderId="318" xfId="0" applyFont="1" applyFill="1" applyBorder="1" applyAlignment="1">
      <alignment horizontal="right" vertical="center"/>
    </xf>
    <xf numFmtId="0" fontId="347" fillId="11" borderId="319" xfId="0" applyFont="1" applyFill="1" applyBorder="1" applyAlignment="1">
      <alignment horizontal="right" vertical="center"/>
    </xf>
    <xf numFmtId="0" fontId="347" fillId="11" borderId="390" xfId="0" applyFont="1" applyFill="1" applyBorder="1" applyAlignment="1">
      <alignment horizontal="right" vertical="center"/>
    </xf>
    <xf numFmtId="0" fontId="124" fillId="0" borderId="373" xfId="0" applyFont="1" applyBorder="1" applyAlignment="1">
      <alignment horizontal="center" vertical="center" wrapText="1"/>
    </xf>
    <xf numFmtId="0" fontId="376" fillId="11" borderId="35" xfId="0" applyFont="1" applyFill="1" applyBorder="1" applyAlignment="1">
      <alignment horizontal="right" vertical="center" wrapText="1"/>
    </xf>
    <xf numFmtId="0" fontId="187" fillId="11" borderId="26" xfId="0" applyFont="1" applyFill="1" applyBorder="1" applyAlignment="1">
      <alignment horizontal="right"/>
    </xf>
    <xf numFmtId="0" fontId="187" fillId="11" borderId="27" xfId="0" applyFont="1" applyFill="1" applyBorder="1" applyAlignment="1">
      <alignment horizontal="right"/>
    </xf>
    <xf numFmtId="0" fontId="206" fillId="2" borderId="103" xfId="0" applyFont="1" applyFill="1" applyBorder="1" applyAlignment="1">
      <alignment horizontal="center" vertical="center"/>
    </xf>
    <xf numFmtId="0" fontId="88" fillId="2" borderId="108" xfId="0" applyFont="1" applyFill="1" applyBorder="1" applyAlignment="1">
      <alignment horizontal="center" vertical="center"/>
    </xf>
    <xf numFmtId="0" fontId="88" fillId="2" borderId="116" xfId="0" applyFont="1" applyFill="1" applyBorder="1" applyAlignment="1">
      <alignment horizontal="center" vertical="center"/>
    </xf>
    <xf numFmtId="0" fontId="83" fillId="6" borderId="185" xfId="0" applyFont="1" applyFill="1" applyBorder="1" applyAlignment="1">
      <alignment horizontal="center" vertical="center"/>
    </xf>
    <xf numFmtId="0" fontId="83" fillId="6" borderId="200" xfId="0" applyFont="1" applyFill="1" applyBorder="1" applyAlignment="1">
      <alignment horizontal="center" vertical="center"/>
    </xf>
    <xf numFmtId="0" fontId="0" fillId="6" borderId="324" xfId="0" applyFont="1" applyFill="1" applyBorder="1" applyAlignment="1">
      <alignment horizontal="center" vertical="center" wrapText="1"/>
    </xf>
    <xf numFmtId="0" fontId="0" fillId="6" borderId="185" xfId="0" applyFont="1" applyFill="1" applyBorder="1" applyAlignment="1">
      <alignment horizontal="center" vertical="center" wrapText="1"/>
    </xf>
    <xf numFmtId="168" fontId="152" fillId="2" borderId="262" xfId="0" applyNumberFormat="1" applyFont="1" applyFill="1" applyBorder="1" applyAlignment="1">
      <alignment horizontal="center" vertical="center"/>
    </xf>
    <xf numFmtId="0" fontId="152" fillId="2" borderId="151" xfId="0" applyFont="1" applyFill="1" applyBorder="1" applyAlignment="1">
      <alignment horizontal="center" vertical="center"/>
    </xf>
    <xf numFmtId="168" fontId="251" fillId="4" borderId="260" xfId="0" applyNumberFormat="1" applyFont="1" applyFill="1" applyBorder="1" applyAlignment="1">
      <alignment horizontal="center" vertical="center"/>
    </xf>
    <xf numFmtId="168" fontId="251" fillId="4" borderId="140" xfId="0" applyNumberFormat="1" applyFont="1" applyFill="1" applyBorder="1" applyAlignment="1">
      <alignment horizontal="center" vertical="center"/>
    </xf>
    <xf numFmtId="168" fontId="152" fillId="2" borderId="151" xfId="0" applyNumberFormat="1" applyFont="1" applyFill="1" applyBorder="1" applyAlignment="1">
      <alignment horizontal="center" vertical="center"/>
    </xf>
    <xf numFmtId="168" fontId="152" fillId="2" borderId="150" xfId="0" applyNumberFormat="1" applyFont="1" applyFill="1" applyBorder="1" applyAlignment="1">
      <alignment horizontal="center" vertical="center"/>
    </xf>
    <xf numFmtId="0" fontId="152" fillId="2" borderId="152" xfId="0" applyFont="1" applyFill="1" applyBorder="1" applyAlignment="1">
      <alignment horizontal="center" vertical="center"/>
    </xf>
    <xf numFmtId="0" fontId="155" fillId="6" borderId="25" xfId="0" applyFont="1" applyFill="1" applyBorder="1" applyAlignment="1">
      <alignment horizontal="center" vertical="center" wrapText="1"/>
    </xf>
    <xf numFmtId="0" fontId="0" fillId="0" borderId="27" xfId="0" applyBorder="1" applyAlignment="1"/>
    <xf numFmtId="0" fontId="186" fillId="0" borderId="25" xfId="0" applyFont="1" applyBorder="1" applyAlignment="1">
      <alignment horizontal="center" vertical="center" wrapText="1"/>
    </xf>
    <xf numFmtId="0" fontId="186" fillId="0" borderId="27" xfId="0" applyFont="1" applyBorder="1" applyAlignment="1">
      <alignment horizontal="center" vertical="center" wrapText="1"/>
    </xf>
    <xf numFmtId="0" fontId="152" fillId="4" borderId="31" xfId="0" applyFont="1" applyFill="1" applyBorder="1" applyAlignment="1">
      <alignment horizontal="center" vertical="center"/>
    </xf>
    <xf numFmtId="0" fontId="84" fillId="0" borderId="204" xfId="0" applyFont="1" applyBorder="1" applyAlignment="1">
      <alignment horizontal="center" vertical="center"/>
    </xf>
    <xf numFmtId="0" fontId="84" fillId="0" borderId="34" xfId="0" applyFont="1" applyBorder="1" applyAlignment="1">
      <alignment horizontal="center" vertical="center"/>
    </xf>
    <xf numFmtId="0" fontId="71" fillId="8" borderId="245" xfId="0" applyFont="1" applyFill="1" applyBorder="1" applyAlignment="1">
      <alignment horizontal="center" vertical="center" wrapText="1"/>
    </xf>
    <xf numFmtId="0" fontId="71" fillId="8" borderId="26" xfId="0" applyFont="1" applyFill="1" applyBorder="1" applyAlignment="1">
      <alignment horizontal="center" vertical="center" wrapText="1"/>
    </xf>
    <xf numFmtId="0" fontId="183" fillId="2" borderId="25" xfId="0" applyFont="1" applyFill="1" applyBorder="1" applyAlignment="1">
      <alignment horizontal="center" vertical="center" wrapText="1"/>
    </xf>
    <xf numFmtId="0" fontId="152" fillId="2" borderId="26" xfId="0" applyFont="1" applyFill="1" applyBorder="1" applyAlignment="1">
      <alignment horizontal="center" vertical="center" wrapText="1"/>
    </xf>
    <xf numFmtId="0" fontId="152" fillId="2" borderId="27" xfId="0" applyFont="1" applyFill="1" applyBorder="1" applyAlignment="1">
      <alignment horizontal="center" vertical="center" wrapText="1"/>
    </xf>
    <xf numFmtId="0" fontId="183" fillId="2" borderId="150" xfId="0" applyFont="1" applyFill="1" applyBorder="1" applyAlignment="1">
      <alignment horizontal="center" vertical="center" wrapText="1"/>
    </xf>
    <xf numFmtId="0" fontId="152" fillId="2" borderId="151" xfId="0" applyFont="1" applyFill="1" applyBorder="1" applyAlignment="1">
      <alignment horizontal="center" vertical="center" wrapText="1"/>
    </xf>
    <xf numFmtId="0" fontId="184" fillId="2" borderId="25" xfId="0" applyFont="1" applyFill="1" applyBorder="1" applyAlignment="1">
      <alignment horizontal="center" vertical="center" wrapText="1"/>
    </xf>
    <xf numFmtId="0" fontId="184" fillId="2" borderId="26" xfId="0" applyFont="1" applyFill="1" applyBorder="1" applyAlignment="1">
      <alignment horizontal="center" vertical="center" wrapText="1"/>
    </xf>
    <xf numFmtId="0" fontId="0" fillId="0" borderId="26" xfId="0" applyBorder="1" applyAlignment="1"/>
    <xf numFmtId="0" fontId="151" fillId="0" borderId="17" xfId="0" applyFont="1" applyBorder="1" applyAlignment="1">
      <alignment horizontal="center" vertical="center" wrapText="1"/>
    </xf>
    <xf numFmtId="0" fontId="150" fillId="0" borderId="86" xfId="0" applyFont="1" applyBorder="1" applyAlignment="1">
      <alignment wrapText="1"/>
    </xf>
    <xf numFmtId="0" fontId="273" fillId="39" borderId="14" xfId="0" applyFont="1" applyFill="1" applyBorder="1" applyAlignment="1">
      <alignment horizontal="center" vertical="center" wrapText="1"/>
    </xf>
    <xf numFmtId="0" fontId="150" fillId="41" borderId="15" xfId="0" applyFont="1" applyFill="1" applyBorder="1" applyAlignment="1">
      <alignment vertical="center"/>
    </xf>
    <xf numFmtId="0" fontId="150" fillId="41" borderId="16" xfId="0" applyFont="1" applyFill="1" applyBorder="1" applyAlignment="1">
      <alignment vertical="center"/>
    </xf>
    <xf numFmtId="0" fontId="150" fillId="41" borderId="23" xfId="0" applyFont="1" applyFill="1" applyBorder="1" applyAlignment="1">
      <alignment vertical="center"/>
    </xf>
    <xf numFmtId="0" fontId="150" fillId="41" borderId="0" xfId="0" applyFont="1" applyFill="1" applyBorder="1" applyAlignment="1">
      <alignment vertical="center"/>
    </xf>
    <xf numFmtId="0" fontId="150" fillId="41" borderId="24" xfId="0" applyFont="1" applyFill="1" applyBorder="1" applyAlignment="1">
      <alignment vertical="center"/>
    </xf>
    <xf numFmtId="0" fontId="262" fillId="2" borderId="103" xfId="0" applyFont="1" applyFill="1" applyBorder="1" applyAlignment="1">
      <alignment horizontal="center" vertical="center" textRotation="90" wrapText="1"/>
    </xf>
    <xf numFmtId="0" fontId="147" fillId="0" borderId="108" xfId="0" applyFont="1" applyBorder="1" applyAlignment="1"/>
    <xf numFmtId="0" fontId="184" fillId="2" borderId="27" xfId="0" applyFont="1" applyFill="1" applyBorder="1" applyAlignment="1">
      <alignment horizontal="center" vertical="center" wrapText="1"/>
    </xf>
    <xf numFmtId="0" fontId="136" fillId="6" borderId="0" xfId="0" applyFont="1" applyFill="1" applyBorder="1" applyAlignment="1">
      <alignment horizontal="center" vertical="center" wrapText="1"/>
    </xf>
    <xf numFmtId="0" fontId="164" fillId="6" borderId="0" xfId="0" applyFont="1" applyFill="1" applyBorder="1" applyAlignment="1">
      <alignment horizontal="center" vertical="center" wrapText="1"/>
    </xf>
    <xf numFmtId="0" fontId="266" fillId="6" borderId="23" xfId="0" applyFont="1" applyFill="1" applyBorder="1" applyAlignment="1">
      <alignment horizontal="center" vertical="center" wrapText="1"/>
    </xf>
    <xf numFmtId="0" fontId="266" fillId="6" borderId="0" xfId="0" applyFont="1" applyFill="1" applyBorder="1" applyAlignment="1">
      <alignment horizontal="center" vertical="center" wrapText="1"/>
    </xf>
    <xf numFmtId="0" fontId="38" fillId="0" borderId="17" xfId="0" applyFont="1" applyBorder="1" applyAlignment="1">
      <alignment horizontal="center" vertical="center" wrapText="1"/>
    </xf>
    <xf numFmtId="0" fontId="38" fillId="0" borderId="86" xfId="0" applyFont="1" applyBorder="1" applyAlignment="1">
      <alignment horizontal="center" vertical="center" wrapText="1"/>
    </xf>
    <xf numFmtId="0" fontId="38" fillId="0" borderId="21" xfId="0" applyFont="1" applyBorder="1" applyAlignment="1">
      <alignment horizontal="center" vertical="center" wrapText="1"/>
    </xf>
    <xf numFmtId="0" fontId="183" fillId="2" borderId="242" xfId="0" applyFont="1" applyFill="1" applyBorder="1" applyAlignment="1">
      <alignment horizontal="center" vertical="center"/>
    </xf>
    <xf numFmtId="0" fontId="183" fillId="2" borderId="241" xfId="0" applyFont="1" applyFill="1" applyBorder="1" applyAlignment="1">
      <alignment horizontal="center" vertical="center"/>
    </xf>
    <xf numFmtId="0" fontId="70" fillId="6" borderId="243" xfId="0" applyFont="1" applyFill="1" applyBorder="1" applyAlignment="1">
      <alignment horizontal="center" vertical="center" textRotation="90" wrapText="1"/>
    </xf>
    <xf numFmtId="0" fontId="0" fillId="6" borderId="187" xfId="0" applyFill="1" applyBorder="1" applyAlignment="1">
      <alignment horizontal="center" vertical="center" textRotation="90"/>
    </xf>
    <xf numFmtId="0" fontId="70" fillId="6" borderId="15" xfId="0" applyFont="1" applyFill="1" applyBorder="1" applyAlignment="1">
      <alignment horizontal="center" vertical="center" textRotation="90" wrapText="1"/>
    </xf>
    <xf numFmtId="0" fontId="0" fillId="6" borderId="0" xfId="0" applyFill="1" applyBorder="1" applyAlignment="1">
      <alignment horizontal="center" vertical="center" textRotation="90"/>
    </xf>
    <xf numFmtId="0" fontId="183" fillId="2" borderId="191" xfId="0" applyFont="1" applyFill="1" applyBorder="1" applyAlignment="1">
      <alignment horizontal="center" vertical="center"/>
    </xf>
    <xf numFmtId="0" fontId="183" fillId="2" borderId="153" xfId="0" applyFont="1" applyFill="1" applyBorder="1" applyAlignment="1">
      <alignment horizontal="center" vertical="center"/>
    </xf>
    <xf numFmtId="0" fontId="150" fillId="0" borderId="21" xfId="0" applyFont="1" applyBorder="1" applyAlignment="1">
      <alignment wrapText="1"/>
    </xf>
    <xf numFmtId="166" fontId="70" fillId="0" borderId="261" xfId="0" applyNumberFormat="1" applyFont="1" applyBorder="1" applyAlignment="1">
      <alignment horizontal="center" vertical="center"/>
    </xf>
    <xf numFmtId="166" fontId="70" fillId="0" borderId="263" xfId="0" applyNumberFormat="1" applyFont="1" applyBorder="1" applyAlignment="1">
      <alignment horizontal="center" vertical="center"/>
    </xf>
    <xf numFmtId="0" fontId="152" fillId="2" borderId="103" xfId="0" applyFont="1" applyFill="1" applyBorder="1" applyAlignment="1">
      <alignment horizontal="center" vertical="center" textRotation="90" wrapText="1"/>
    </xf>
    <xf numFmtId="0" fontId="0" fillId="0" borderId="108" xfId="0" applyBorder="1" applyAlignment="1"/>
    <xf numFmtId="0" fontId="0" fillId="0" borderId="116" xfId="0" applyBorder="1" applyAlignment="1"/>
    <xf numFmtId="0" fontId="183" fillId="2" borderId="189" xfId="0" applyFont="1" applyFill="1" applyBorder="1" applyAlignment="1">
      <alignment horizontal="center" vertical="center"/>
    </xf>
    <xf numFmtId="0" fontId="294" fillId="4" borderId="24" xfId="0" applyFont="1" applyFill="1" applyBorder="1" applyAlignment="1">
      <alignment horizontal="center" vertical="center" wrapText="1"/>
    </xf>
    <xf numFmtId="0" fontId="294" fillId="4" borderId="24" xfId="0" applyFont="1" applyFill="1" applyBorder="1" applyAlignment="1">
      <alignment horizontal="center"/>
    </xf>
    <xf numFmtId="0" fontId="294" fillId="4" borderId="20" xfId="0" applyFont="1" applyFill="1" applyBorder="1" applyAlignment="1">
      <alignment horizontal="center"/>
    </xf>
    <xf numFmtId="0" fontId="64" fillId="9" borderId="0" xfId="0" applyFont="1" applyFill="1" applyBorder="1" applyAlignment="1">
      <alignment horizontal="center" wrapText="1"/>
    </xf>
    <xf numFmtId="0" fontId="64" fillId="9" borderId="24" xfId="0" applyFont="1" applyFill="1" applyBorder="1" applyAlignment="1">
      <alignment horizontal="center"/>
    </xf>
    <xf numFmtId="0" fontId="64" fillId="9" borderId="0" xfId="0" applyFont="1" applyFill="1" applyBorder="1" applyAlignment="1">
      <alignment horizontal="center"/>
    </xf>
    <xf numFmtId="0" fontId="70" fillId="13" borderId="239" xfId="0" applyFont="1" applyFill="1" applyBorder="1" applyAlignment="1">
      <alignment horizontal="center" vertical="center"/>
    </xf>
    <xf numFmtId="0" fontId="293" fillId="6" borderId="205" xfId="0" applyFont="1" applyFill="1" applyBorder="1" applyAlignment="1">
      <alignment horizontal="center" vertical="center" wrapText="1"/>
    </xf>
    <xf numFmtId="0" fontId="293" fillId="6" borderId="204" xfId="0" applyFont="1" applyFill="1" applyBorder="1" applyAlignment="1">
      <alignment horizontal="center" vertical="center" wrapText="1"/>
    </xf>
    <xf numFmtId="0" fontId="293" fillId="6" borderId="172" xfId="0" applyFont="1" applyFill="1" applyBorder="1" applyAlignment="1">
      <alignment horizontal="center" vertical="center" wrapText="1"/>
    </xf>
    <xf numFmtId="0" fontId="64" fillId="0" borderId="238" xfId="0" applyFont="1" applyBorder="1" applyAlignment="1">
      <alignment horizontal="center" vertical="center"/>
    </xf>
    <xf numFmtId="0" fontId="51" fillId="0" borderId="14" xfId="0" applyFont="1" applyBorder="1" applyAlignment="1">
      <alignment horizontal="center" vertical="center" wrapText="1"/>
    </xf>
    <xf numFmtId="0" fontId="51" fillId="0" borderId="15" xfId="0" applyFont="1" applyBorder="1" applyAlignment="1">
      <alignment wrapText="1"/>
    </xf>
    <xf numFmtId="0" fontId="51" fillId="0" borderId="16" xfId="0" applyFont="1" applyBorder="1" applyAlignment="1">
      <alignment wrapText="1"/>
    </xf>
    <xf numFmtId="0" fontId="51" fillId="0" borderId="23" xfId="0" applyFont="1" applyBorder="1" applyAlignment="1">
      <alignment wrapText="1"/>
    </xf>
    <xf numFmtId="0" fontId="51" fillId="0" borderId="0" xfId="0" applyFont="1" applyAlignment="1">
      <alignment wrapText="1"/>
    </xf>
    <xf numFmtId="0" fontId="51" fillId="0" borderId="24" xfId="0" applyFont="1" applyBorder="1" applyAlignment="1">
      <alignment wrapText="1"/>
    </xf>
    <xf numFmtId="0" fontId="51" fillId="0" borderId="0" xfId="0" applyFont="1" applyBorder="1" applyAlignment="1">
      <alignment wrapText="1"/>
    </xf>
    <xf numFmtId="3" fontId="82" fillId="18" borderId="202" xfId="0" applyNumberFormat="1" applyFont="1" applyFill="1" applyBorder="1" applyAlignment="1">
      <alignment horizontal="right" vertical="center"/>
    </xf>
    <xf numFmtId="0" fontId="0" fillId="0" borderId="370" xfId="0" applyBorder="1" applyAlignment="1"/>
    <xf numFmtId="3" fontId="350" fillId="6" borderId="370" xfId="0" applyNumberFormat="1" applyFont="1" applyFill="1" applyBorder="1" applyAlignment="1">
      <alignment horizontal="center" vertical="center"/>
    </xf>
    <xf numFmtId="0" fontId="3" fillId="0" borderId="15" xfId="0" applyFont="1" applyBorder="1" applyAlignment="1">
      <alignment horizontal="center" vertical="center" wrapText="1"/>
    </xf>
    <xf numFmtId="0" fontId="3" fillId="0" borderId="0" xfId="0" applyFont="1" applyAlignment="1">
      <alignment horizontal="center" vertical="center" wrapText="1"/>
    </xf>
    <xf numFmtId="0" fontId="88" fillId="18" borderId="140" xfId="0" applyFont="1" applyFill="1" applyBorder="1" applyAlignment="1">
      <alignment horizontal="center" vertical="center"/>
    </xf>
    <xf numFmtId="0" fontId="0" fillId="0" borderId="140" xfId="0" applyBorder="1" applyAlignment="1"/>
    <xf numFmtId="0" fontId="0" fillId="0" borderId="173" xfId="0" applyBorder="1" applyAlignment="1"/>
    <xf numFmtId="0" fontId="81" fillId="2" borderId="0" xfId="0" applyFont="1" applyFill="1" applyBorder="1" applyAlignment="1">
      <alignment horizontal="right" vertical="center"/>
    </xf>
    <xf numFmtId="0" fontId="81" fillId="2" borderId="0" xfId="0" applyFont="1" applyFill="1" applyBorder="1" applyAlignment="1">
      <alignment horizontal="right"/>
    </xf>
    <xf numFmtId="0" fontId="51" fillId="0" borderId="348" xfId="0" applyFont="1" applyBorder="1" applyAlignment="1">
      <alignment horizontal="center" vertical="center" wrapText="1"/>
    </xf>
    <xf numFmtId="0" fontId="51" fillId="0" borderId="182" xfId="0" applyFont="1" applyBorder="1" applyAlignment="1">
      <alignment horizontal="center" vertical="center" wrapText="1"/>
    </xf>
    <xf numFmtId="0" fontId="51" fillId="0" borderId="183" xfId="0" applyFont="1" applyBorder="1" applyAlignment="1">
      <alignment horizontal="center" vertical="center" wrapText="1"/>
    </xf>
    <xf numFmtId="0" fontId="216" fillId="2" borderId="17" xfId="0" applyFont="1" applyFill="1" applyBorder="1" applyAlignment="1">
      <alignment horizontal="center" vertical="center" wrapText="1"/>
    </xf>
    <xf numFmtId="0" fontId="216" fillId="2" borderId="86" xfId="0" applyFont="1" applyFill="1" applyBorder="1" applyAlignment="1">
      <alignment vertical="center"/>
    </xf>
    <xf numFmtId="0" fontId="216" fillId="2" borderId="21" xfId="0" applyFont="1" applyFill="1" applyBorder="1" applyAlignment="1">
      <alignment vertical="center"/>
    </xf>
    <xf numFmtId="0" fontId="81" fillId="2" borderId="0" xfId="0" applyFont="1" applyFill="1" applyBorder="1" applyAlignment="1">
      <alignment horizontal="right" vertical="center" wrapText="1"/>
    </xf>
    <xf numFmtId="0" fontId="198" fillId="2" borderId="0" xfId="0" applyFont="1" applyFill="1" applyAlignment="1">
      <alignment horizontal="right"/>
    </xf>
    <xf numFmtId="0" fontId="198" fillId="2" borderId="24" xfId="0" applyFont="1" applyFill="1" applyBorder="1" applyAlignment="1">
      <alignment horizontal="right"/>
    </xf>
    <xf numFmtId="0" fontId="216" fillId="2" borderId="15" xfId="0" applyFont="1" applyFill="1" applyBorder="1" applyAlignment="1">
      <alignment horizontal="center" vertical="center" wrapText="1"/>
    </xf>
    <xf numFmtId="0" fontId="216" fillId="2" borderId="19" xfId="0" applyFont="1" applyFill="1" applyBorder="1" applyAlignment="1">
      <alignment horizontal="center" vertical="center" wrapText="1"/>
    </xf>
    <xf numFmtId="0" fontId="130" fillId="2" borderId="140" xfId="0" applyFont="1" applyFill="1" applyBorder="1" applyAlignment="1">
      <alignment textRotation="90" wrapText="1"/>
    </xf>
    <xf numFmtId="0" fontId="130" fillId="2" borderId="0" xfId="0" applyFont="1" applyFill="1" applyBorder="1" applyAlignment="1">
      <alignment textRotation="90" wrapText="1"/>
    </xf>
    <xf numFmtId="0" fontId="0" fillId="0" borderId="19" xfId="0" applyBorder="1" applyAlignment="1">
      <alignment textRotation="90" wrapText="1"/>
    </xf>
    <xf numFmtId="0" fontId="52" fillId="6" borderId="0" xfId="0" applyFont="1" applyFill="1" applyAlignment="1">
      <alignment horizontal="center" vertical="center"/>
    </xf>
    <xf numFmtId="0" fontId="52" fillId="6" borderId="24" xfId="0" applyFont="1" applyFill="1" applyBorder="1" applyAlignment="1">
      <alignment horizontal="center" vertical="center"/>
    </xf>
    <xf numFmtId="0" fontId="52" fillId="6" borderId="0" xfId="0" applyFont="1" applyFill="1" applyBorder="1" applyAlignment="1">
      <alignment horizontal="center" vertical="center"/>
    </xf>
    <xf numFmtId="0" fontId="52" fillId="0" borderId="0" xfId="0" applyFont="1" applyAlignment="1">
      <alignment horizontal="center" vertical="center"/>
    </xf>
    <xf numFmtId="0" fontId="52" fillId="0" borderId="24" xfId="0" applyFont="1" applyBorder="1" applyAlignment="1">
      <alignment horizontal="center" vertical="center"/>
    </xf>
    <xf numFmtId="0" fontId="51" fillId="0" borderId="14" xfId="0" applyFont="1" applyBorder="1" applyAlignment="1">
      <alignment horizontal="center" vertical="center"/>
    </xf>
    <xf numFmtId="0" fontId="0" fillId="0" borderId="16"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3" fontId="245" fillId="8" borderId="17" xfId="0" applyNumberFormat="1" applyFont="1" applyFill="1" applyBorder="1" applyAlignment="1">
      <alignment horizontal="center" vertical="center"/>
    </xf>
    <xf numFmtId="0" fontId="148" fillId="0" borderId="86" xfId="0" applyFont="1" applyBorder="1" applyAlignment="1">
      <alignment horizontal="center" vertical="center"/>
    </xf>
    <xf numFmtId="0" fontId="148" fillId="0" borderId="21" xfId="0" applyFont="1" applyBorder="1" applyAlignment="1">
      <alignment horizontal="center" vertical="center"/>
    </xf>
    <xf numFmtId="0" fontId="0" fillId="0" borderId="86" xfId="0" applyBorder="1" applyAlignment="1">
      <alignment horizontal="center" vertical="center" wrapText="1"/>
    </xf>
    <xf numFmtId="0" fontId="0" fillId="0" borderId="21" xfId="0" applyBorder="1" applyAlignment="1">
      <alignment horizontal="center" vertical="center" wrapText="1"/>
    </xf>
    <xf numFmtId="0" fontId="15" fillId="12" borderId="21" xfId="0" applyFont="1" applyFill="1" applyBorder="1" applyAlignment="1">
      <alignment horizontal="center" vertical="center"/>
    </xf>
    <xf numFmtId="0" fontId="0" fillId="0" borderId="26" xfId="0" applyBorder="1" applyAlignment="1">
      <alignment horizontal="center" vertical="center"/>
    </xf>
    <xf numFmtId="0" fontId="0" fillId="0" borderId="0" xfId="0" applyAlignment="1">
      <alignment horizontal="center" vertical="center"/>
    </xf>
    <xf numFmtId="0" fontId="382" fillId="6" borderId="14" xfId="0" applyFont="1" applyFill="1" applyBorder="1" applyAlignment="1">
      <alignment horizontal="center" vertical="center"/>
    </xf>
    <xf numFmtId="0" fontId="382" fillId="6" borderId="15" xfId="0" applyFont="1" applyFill="1" applyBorder="1" applyAlignment="1">
      <alignment horizontal="center" vertical="center"/>
    </xf>
    <xf numFmtId="0" fontId="382" fillId="6" borderId="16" xfId="0" applyFont="1" applyFill="1" applyBorder="1" applyAlignment="1">
      <alignment horizontal="center" vertical="center"/>
    </xf>
    <xf numFmtId="0" fontId="52" fillId="6" borderId="23" xfId="0" applyFont="1" applyFill="1"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17" xfId="0" applyBorder="1" applyAlignment="1">
      <alignment horizontal="center" vertical="center" wrapText="1"/>
    </xf>
    <xf numFmtId="0" fontId="0" fillId="0" borderId="21" xfId="0" applyBorder="1" applyAlignment="1">
      <alignment vertical="center" wrapText="1"/>
    </xf>
    <xf numFmtId="0" fontId="245" fillId="6" borderId="14" xfId="0" applyFont="1" applyFill="1" applyBorder="1" applyAlignment="1">
      <alignment horizontal="center" vertical="center"/>
    </xf>
    <xf numFmtId="0" fontId="245" fillId="6" borderId="15" xfId="0" applyFont="1" applyFill="1" applyBorder="1" applyAlignment="1">
      <alignment horizontal="center" vertical="center"/>
    </xf>
    <xf numFmtId="0" fontId="245" fillId="6" borderId="16" xfId="0" applyFont="1" applyFill="1" applyBorder="1" applyAlignment="1">
      <alignment horizontal="center" vertical="center"/>
    </xf>
    <xf numFmtId="0" fontId="149" fillId="2" borderId="17" xfId="0" applyFont="1" applyFill="1" applyBorder="1" applyAlignment="1">
      <alignment horizontal="center" vertical="center" wrapText="1"/>
    </xf>
    <xf numFmtId="0" fontId="149" fillId="2" borderId="86" xfId="0" applyFont="1" applyFill="1" applyBorder="1" applyAlignment="1">
      <alignment horizontal="center" vertical="center" wrapText="1"/>
    </xf>
    <xf numFmtId="0" fontId="149" fillId="2" borderId="21" xfId="0" applyFont="1" applyFill="1" applyBorder="1" applyAlignment="1">
      <alignment horizontal="center" vertical="center" wrapText="1"/>
    </xf>
    <xf numFmtId="0" fontId="87" fillId="2" borderId="17" xfId="0" applyFont="1" applyFill="1" applyBorder="1" applyAlignment="1">
      <alignment horizontal="center" vertical="center" wrapText="1"/>
    </xf>
    <xf numFmtId="0" fontId="87" fillId="2" borderId="86" xfId="0" applyFont="1" applyFill="1" applyBorder="1" applyAlignment="1">
      <alignment horizontal="center" vertical="center" wrapText="1"/>
    </xf>
    <xf numFmtId="0" fontId="87" fillId="2" borderId="21" xfId="0" applyFont="1" applyFill="1" applyBorder="1" applyAlignment="1">
      <alignment horizontal="center" vertical="center" wrapText="1"/>
    </xf>
    <xf numFmtId="172" fontId="51" fillId="7" borderId="17" xfId="0" applyNumberFormat="1" applyFont="1" applyFill="1" applyBorder="1" applyAlignment="1">
      <alignment horizontal="center" vertical="center"/>
    </xf>
    <xf numFmtId="0" fontId="64" fillId="7" borderId="21" xfId="0" applyFont="1" applyFill="1" applyBorder="1" applyAlignment="1">
      <alignment vertical="center"/>
    </xf>
    <xf numFmtId="0" fontId="152" fillId="2" borderId="0" xfId="0" applyFont="1" applyFill="1" applyAlignment="1">
      <alignment horizontal="center" vertical="center"/>
    </xf>
    <xf numFmtId="0" fontId="129" fillId="0" borderId="25" xfId="0" applyFont="1" applyBorder="1" applyAlignment="1">
      <alignment horizontal="center" vertical="center"/>
    </xf>
    <xf numFmtId="0" fontId="129" fillId="0" borderId="26" xfId="0" applyFont="1" applyBorder="1" applyAlignment="1">
      <alignment horizontal="center" vertical="center"/>
    </xf>
    <xf numFmtId="0" fontId="129" fillId="0" borderId="27" xfId="0" applyFont="1" applyBorder="1" applyAlignment="1">
      <alignment horizontal="center" vertical="center"/>
    </xf>
    <xf numFmtId="0" fontId="382" fillId="6" borderId="14" xfId="0" applyFont="1" applyFill="1" applyBorder="1" applyAlignment="1">
      <alignment horizontal="center" vertical="top"/>
    </xf>
    <xf numFmtId="0" fontId="382" fillId="6" borderId="15" xfId="0" applyFont="1" applyFill="1" applyBorder="1" applyAlignment="1">
      <alignment horizontal="center" vertical="top"/>
    </xf>
    <xf numFmtId="0" fontId="382" fillId="6" borderId="16" xfId="0" applyFont="1" applyFill="1" applyBorder="1" applyAlignment="1">
      <alignment horizontal="center" vertical="top"/>
    </xf>
    <xf numFmtId="0" fontId="55" fillId="0" borderId="14" xfId="0" applyFont="1" applyBorder="1" applyAlignment="1">
      <alignment horizontal="center" vertical="center" wrapText="1"/>
    </xf>
    <xf numFmtId="0" fontId="55" fillId="0" borderId="16" xfId="0" applyFont="1" applyBorder="1" applyAlignment="1">
      <alignment horizontal="center" vertical="center" wrapText="1"/>
    </xf>
    <xf numFmtId="0" fontId="55" fillId="0" borderId="18" xfId="0" applyFont="1" applyBorder="1" applyAlignment="1">
      <alignment horizontal="center" vertical="center" wrapText="1"/>
    </xf>
    <xf numFmtId="0" fontId="55" fillId="0" borderId="20" xfId="0" applyFont="1" applyBorder="1" applyAlignment="1">
      <alignment horizontal="center" vertical="center" wrapText="1"/>
    </xf>
    <xf numFmtId="0" fontId="18" fillId="6" borderId="17" xfId="0" applyFont="1" applyFill="1" applyBorder="1" applyAlignment="1">
      <alignment horizontal="center" vertical="center" wrapText="1"/>
    </xf>
    <xf numFmtId="0" fontId="18" fillId="6" borderId="21" xfId="0" applyFont="1" applyFill="1" applyBorder="1" applyAlignment="1">
      <alignment horizontal="center" vertical="center" wrapText="1"/>
    </xf>
    <xf numFmtId="0" fontId="70" fillId="6" borderId="14" xfId="0" applyFont="1" applyFill="1" applyBorder="1" applyAlignment="1">
      <alignment horizontal="center" vertical="center"/>
    </xf>
    <xf numFmtId="0" fontId="0" fillId="0" borderId="18" xfId="0" applyBorder="1" applyAlignment="1">
      <alignment vertical="center"/>
    </xf>
    <xf numFmtId="0" fontId="215" fillId="4" borderId="15" xfId="0" applyFont="1" applyFill="1" applyBorder="1" applyAlignment="1">
      <alignment horizontal="center" vertical="center" wrapText="1"/>
    </xf>
    <xf numFmtId="0" fontId="215" fillId="4" borderId="0" xfId="0" applyFont="1" applyFill="1" applyBorder="1" applyAlignment="1">
      <alignment horizontal="center" vertical="center" wrapText="1"/>
    </xf>
    <xf numFmtId="0" fontId="218" fillId="4" borderId="0" xfId="0" applyFont="1" applyFill="1" applyBorder="1" applyAlignment="1">
      <alignment horizontal="center" vertical="center" wrapText="1"/>
    </xf>
    <xf numFmtId="0" fontId="218" fillId="4" borderId="15" xfId="0" applyFont="1" applyFill="1" applyBorder="1" applyAlignment="1">
      <alignment horizontal="center" vertical="center" wrapText="1"/>
    </xf>
    <xf numFmtId="0" fontId="0" fillId="0" borderId="44" xfId="0" applyFill="1" applyBorder="1" applyAlignment="1">
      <alignment horizontal="right" vertical="center"/>
    </xf>
    <xf numFmtId="0" fontId="0" fillId="0" borderId="45" xfId="0" applyFill="1" applyBorder="1" applyAlignment="1">
      <alignment horizontal="right" vertical="center"/>
    </xf>
    <xf numFmtId="0" fontId="0" fillId="0" borderId="46" xfId="0" applyBorder="1" applyAlignment="1">
      <alignment horizontal="right" vertical="center"/>
    </xf>
    <xf numFmtId="0" fontId="0" fillId="0" borderId="50" xfId="0" applyBorder="1" applyAlignment="1">
      <alignment horizontal="right" vertical="center"/>
    </xf>
    <xf numFmtId="0" fontId="0" fillId="0" borderId="51" xfId="0" applyBorder="1" applyAlignment="1">
      <alignment horizontal="right" vertical="center"/>
    </xf>
    <xf numFmtId="0" fontId="0" fillId="0" borderId="52" xfId="0" applyBorder="1" applyAlignment="1">
      <alignment horizontal="right" vertical="center"/>
    </xf>
    <xf numFmtId="0" fontId="87" fillId="2" borderId="17" xfId="0" applyFont="1" applyFill="1" applyBorder="1" applyAlignment="1">
      <alignment horizontal="center" vertical="center"/>
    </xf>
    <xf numFmtId="0" fontId="92" fillId="0" borderId="86" xfId="0" applyFont="1" applyBorder="1" applyAlignment="1">
      <alignment horizontal="center" vertical="center"/>
    </xf>
    <xf numFmtId="0" fontId="92" fillId="0" borderId="21" xfId="0" applyFont="1" applyBorder="1" applyAlignment="1">
      <alignment horizontal="center" vertical="center"/>
    </xf>
    <xf numFmtId="0" fontId="148" fillId="0" borderId="86" xfId="0" applyFont="1" applyBorder="1" applyAlignment="1">
      <alignment vertical="center"/>
    </xf>
    <xf numFmtId="0" fontId="148" fillId="0" borderId="21" xfId="0" applyFont="1" applyBorder="1" applyAlignment="1">
      <alignment vertical="center"/>
    </xf>
    <xf numFmtId="0" fontId="78" fillId="0" borderId="19" xfId="0" applyFont="1" applyBorder="1" applyAlignment="1">
      <alignment horizontal="center"/>
    </xf>
    <xf numFmtId="0" fontId="87" fillId="2" borderId="25" xfId="0" applyFont="1" applyFill="1" applyBorder="1" applyAlignment="1">
      <alignment horizontal="center" vertical="center"/>
    </xf>
    <xf numFmtId="0" fontId="88" fillId="2" borderId="27" xfId="0" applyFont="1" applyFill="1" applyBorder="1" applyAlignment="1">
      <alignment horizontal="center" vertical="center"/>
    </xf>
    <xf numFmtId="0" fontId="245" fillId="8" borderId="22" xfId="0" applyFont="1" applyFill="1" applyBorder="1" applyAlignment="1">
      <alignment horizontal="center" vertical="center"/>
    </xf>
    <xf numFmtId="0" fontId="245" fillId="6" borderId="23" xfId="0" applyFont="1" applyFill="1" applyBorder="1" applyAlignment="1">
      <alignment horizontal="center" vertical="center"/>
    </xf>
    <xf numFmtId="0" fontId="82" fillId="2" borderId="176" xfId="0" applyFont="1" applyFill="1" applyBorder="1" applyAlignment="1">
      <alignment horizontal="center" wrapText="1"/>
    </xf>
    <xf numFmtId="0" fontId="82" fillId="2" borderId="155" xfId="0" applyFont="1" applyFill="1" applyBorder="1" applyAlignment="1">
      <alignment horizontal="center" wrapText="1"/>
    </xf>
    <xf numFmtId="0" fontId="82" fillId="2" borderId="179" xfId="0" applyFont="1" applyFill="1" applyBorder="1" applyAlignment="1">
      <alignment horizontal="center" wrapText="1"/>
    </xf>
    <xf numFmtId="0" fontId="87" fillId="2" borderId="14" xfId="0" applyFont="1" applyFill="1" applyBorder="1" applyAlignment="1">
      <alignment horizontal="center" vertical="center"/>
    </xf>
    <xf numFmtId="0" fontId="87" fillId="2" borderId="23" xfId="0" applyFont="1" applyFill="1" applyBorder="1" applyAlignment="1">
      <alignment horizontal="center" vertical="center"/>
    </xf>
    <xf numFmtId="0" fontId="87" fillId="2" borderId="18" xfId="0" applyFont="1" applyFill="1" applyBorder="1" applyAlignment="1">
      <alignment horizontal="center" vertical="center"/>
    </xf>
    <xf numFmtId="0" fontId="7" fillId="6" borderId="18" xfId="0" applyFont="1" applyFill="1" applyBorder="1" applyAlignment="1">
      <alignment horizontal="center" vertical="center"/>
    </xf>
    <xf numFmtId="0" fontId="155" fillId="0" borderId="19" xfId="0" applyFont="1" applyBorder="1" applyAlignment="1">
      <alignment horizontal="center" vertical="center"/>
    </xf>
    <xf numFmtId="0" fontId="155" fillId="0" borderId="20" xfId="0" applyFont="1" applyBorder="1" applyAlignment="1">
      <alignment horizontal="center" vertical="center"/>
    </xf>
    <xf numFmtId="0" fontId="7" fillId="6" borderId="19" xfId="0" applyFont="1" applyFill="1" applyBorder="1" applyAlignment="1">
      <alignment horizontal="center" vertical="center"/>
    </xf>
    <xf numFmtId="0" fontId="7" fillId="6" borderId="20" xfId="0" applyFont="1" applyFill="1" applyBorder="1" applyAlignment="1">
      <alignment horizontal="center" vertical="center"/>
    </xf>
    <xf numFmtId="0" fontId="3" fillId="0" borderId="14" xfId="0" applyFont="1" applyBorder="1" applyAlignment="1">
      <alignment horizontal="center" vertical="center" wrapText="1"/>
    </xf>
    <xf numFmtId="0" fontId="0" fillId="0" borderId="15" xfId="0" applyBorder="1" applyAlignment="1"/>
    <xf numFmtId="0" fontId="0" fillId="0" borderId="16" xfId="0" applyBorder="1" applyAlignment="1"/>
    <xf numFmtId="0" fontId="0" fillId="0" borderId="18" xfId="0" applyBorder="1" applyAlignment="1"/>
    <xf numFmtId="0" fontId="0" fillId="0" borderId="19" xfId="0" applyBorder="1" applyAlignment="1"/>
    <xf numFmtId="0" fontId="0" fillId="0" borderId="20" xfId="0" applyBorder="1" applyAlignment="1"/>
    <xf numFmtId="3" fontId="350" fillId="6" borderId="0" xfId="0" applyNumberFormat="1" applyFont="1" applyFill="1" applyBorder="1" applyAlignment="1">
      <alignment horizontal="center" vertical="center"/>
    </xf>
    <xf numFmtId="0" fontId="123" fillId="0" borderId="0" xfId="0" applyFont="1" applyAlignment="1">
      <alignment vertical="center" wrapText="1"/>
    </xf>
    <xf numFmtId="0" fontId="130" fillId="2" borderId="139" xfId="0" applyFont="1" applyFill="1" applyBorder="1" applyAlignment="1">
      <alignment textRotation="90" wrapText="1"/>
    </xf>
    <xf numFmtId="0" fontId="130" fillId="2" borderId="250" xfId="0" applyFont="1" applyFill="1" applyBorder="1" applyAlignment="1">
      <alignment textRotation="90" wrapText="1"/>
    </xf>
    <xf numFmtId="0" fontId="130" fillId="2" borderId="255" xfId="0" applyFont="1" applyFill="1" applyBorder="1" applyAlignment="1">
      <alignment textRotation="90" wrapText="1"/>
    </xf>
    <xf numFmtId="0" fontId="130" fillId="2" borderId="43" xfId="0" applyFont="1" applyFill="1" applyBorder="1" applyAlignment="1">
      <alignment horizontal="center" vertical="center" wrapText="1"/>
    </xf>
    <xf numFmtId="0" fontId="130" fillId="2" borderId="102" xfId="0" applyFont="1" applyFill="1" applyBorder="1" applyAlignment="1">
      <alignment horizontal="center" vertical="center" wrapText="1"/>
    </xf>
    <xf numFmtId="0" fontId="197" fillId="2" borderId="102" xfId="0" applyFont="1" applyFill="1" applyBorder="1" applyAlignment="1"/>
    <xf numFmtId="3" fontId="82" fillId="18" borderId="40" xfId="0" applyNumberFormat="1" applyFont="1" applyFill="1" applyBorder="1" applyAlignment="1"/>
    <xf numFmtId="0" fontId="130" fillId="2" borderId="86" xfId="0" applyFont="1" applyFill="1" applyBorder="1" applyAlignment="1">
      <alignment textRotation="90"/>
    </xf>
    <xf numFmtId="0" fontId="198" fillId="0" borderId="86" xfId="0" applyFont="1" applyBorder="1" applyAlignment="1">
      <alignment textRotation="90"/>
    </xf>
    <xf numFmtId="0" fontId="167" fillId="0" borderId="0" xfId="0" applyFont="1" applyAlignment="1">
      <alignment horizontal="center"/>
    </xf>
    <xf numFmtId="0" fontId="251" fillId="2" borderId="14" xfId="50" applyFont="1" applyFill="1" applyBorder="1" applyAlignment="1">
      <alignment horizontal="center" vertical="center" wrapText="1"/>
    </xf>
    <xf numFmtId="0" fontId="150" fillId="0" borderId="23" xfId="0" applyFont="1" applyBorder="1" applyAlignment="1"/>
    <xf numFmtId="0" fontId="87" fillId="2" borderId="25" xfId="50" applyFont="1" applyFill="1" applyBorder="1" applyAlignment="1">
      <alignment horizontal="center" vertical="center"/>
    </xf>
    <xf numFmtId="0" fontId="87" fillId="2" borderId="26" xfId="50" applyFont="1" applyFill="1" applyBorder="1" applyAlignment="1">
      <alignment horizontal="center" vertical="center"/>
    </xf>
    <xf numFmtId="0" fontId="92" fillId="0" borderId="27" xfId="0" applyFont="1" applyBorder="1" applyAlignment="1"/>
    <xf numFmtId="0" fontId="53" fillId="0" borderId="17" xfId="50" applyFont="1" applyBorder="1" applyAlignment="1">
      <alignment horizontal="center" vertical="center" textRotation="90"/>
    </xf>
    <xf numFmtId="0" fontId="53" fillId="0" borderId="86" xfId="50" applyFont="1" applyBorder="1" applyAlignment="1">
      <alignment horizontal="center" vertical="center" textRotation="90"/>
    </xf>
    <xf numFmtId="0" fontId="53" fillId="0" borderId="21" xfId="50" applyFont="1" applyBorder="1" applyAlignment="1">
      <alignment horizontal="center" vertical="center" textRotation="90"/>
    </xf>
    <xf numFmtId="0" fontId="251" fillId="2" borderId="14" xfId="50" applyFont="1" applyFill="1" applyBorder="1" applyAlignment="1">
      <alignment horizontal="center" vertical="center"/>
    </xf>
    <xf numFmtId="0" fontId="256" fillId="2" borderId="15" xfId="0" applyFont="1" applyFill="1" applyBorder="1" applyAlignment="1">
      <alignment vertical="center"/>
    </xf>
    <xf numFmtId="0" fontId="256" fillId="2" borderId="16" xfId="0" applyFont="1" applyFill="1" applyBorder="1" applyAlignment="1">
      <alignment vertical="center"/>
    </xf>
    <xf numFmtId="0" fontId="256" fillId="2" borderId="18" xfId="0" applyFont="1" applyFill="1" applyBorder="1" applyAlignment="1">
      <alignment vertical="center"/>
    </xf>
    <xf numFmtId="0" fontId="256" fillId="2" borderId="19" xfId="0" applyFont="1" applyFill="1" applyBorder="1" applyAlignment="1">
      <alignment vertical="center"/>
    </xf>
    <xf numFmtId="0" fontId="256" fillId="2" borderId="20" xfId="0" applyFont="1" applyFill="1" applyBorder="1" applyAlignment="1">
      <alignment vertical="center"/>
    </xf>
    <xf numFmtId="0" fontId="155" fillId="0" borderId="25" xfId="50" applyFont="1" applyBorder="1" applyAlignment="1">
      <alignment horizontal="center" vertical="center"/>
    </xf>
    <xf numFmtId="0" fontId="155" fillId="0" borderId="26" xfId="50" applyFont="1" applyBorder="1" applyAlignment="1">
      <alignment horizontal="center" vertical="center"/>
    </xf>
    <xf numFmtId="0" fontId="155" fillId="0" borderId="27" xfId="50" applyFont="1" applyBorder="1" applyAlignment="1">
      <alignment horizontal="center" vertical="center"/>
    </xf>
    <xf numFmtId="0" fontId="185" fillId="0" borderId="14" xfId="50" applyFont="1" applyBorder="1" applyAlignment="1">
      <alignment horizontal="center" vertical="center" wrapText="1"/>
    </xf>
    <xf numFmtId="0" fontId="185" fillId="0" borderId="15" xfId="0" applyFont="1" applyBorder="1" applyAlignment="1"/>
    <xf numFmtId="0" fontId="185" fillId="0" borderId="16" xfId="0" applyFont="1" applyBorder="1" applyAlignment="1"/>
    <xf numFmtId="0" fontId="185" fillId="0" borderId="23" xfId="0" applyFont="1" applyBorder="1" applyAlignment="1"/>
    <xf numFmtId="0" fontId="185" fillId="0" borderId="0" xfId="0" applyFont="1" applyBorder="1" applyAlignment="1"/>
    <xf numFmtId="0" fontId="185" fillId="0" borderId="24" xfId="0" applyFont="1" applyBorder="1" applyAlignment="1"/>
    <xf numFmtId="0" fontId="185" fillId="0" borderId="18" xfId="0" applyFont="1" applyBorder="1" applyAlignment="1"/>
    <xf numFmtId="0" fontId="185" fillId="0" borderId="19" xfId="0" applyFont="1" applyBorder="1" applyAlignment="1"/>
    <xf numFmtId="0" fontId="185" fillId="0" borderId="20" xfId="0" applyFont="1" applyBorder="1" applyAlignment="1"/>
    <xf numFmtId="0" fontId="233" fillId="39" borderId="17" xfId="50" applyFont="1" applyFill="1" applyBorder="1" applyAlignment="1">
      <alignment horizontal="center" vertical="center" wrapText="1"/>
    </xf>
    <xf numFmtId="0" fontId="233" fillId="39" borderId="86" xfId="50" applyFont="1" applyFill="1" applyBorder="1" applyAlignment="1">
      <alignment horizontal="center" vertical="center" wrapText="1"/>
    </xf>
    <xf numFmtId="0" fontId="233" fillId="39" borderId="21" xfId="0" applyFont="1" applyFill="1" applyBorder="1" applyAlignment="1"/>
    <xf numFmtId="0" fontId="270" fillId="0" borderId="14" xfId="0" applyFont="1" applyBorder="1" applyAlignment="1">
      <alignment horizontal="left" vertical="center" wrapText="1" indent="1"/>
    </xf>
    <xf numFmtId="0" fontId="272" fillId="0" borderId="15" xfId="0" applyFont="1" applyBorder="1" applyAlignment="1">
      <alignment horizontal="left" vertical="center" wrapText="1" indent="1"/>
    </xf>
    <xf numFmtId="0" fontId="272" fillId="0" borderId="16" xfId="0" applyFont="1" applyBorder="1" applyAlignment="1">
      <alignment horizontal="left" vertical="center" wrapText="1" indent="1"/>
    </xf>
    <xf numFmtId="0" fontId="272" fillId="0" borderId="23" xfId="0" applyFont="1" applyBorder="1" applyAlignment="1">
      <alignment horizontal="left" vertical="center" wrapText="1" indent="1"/>
    </xf>
    <xf numFmtId="0" fontId="272" fillId="0" borderId="0" xfId="0" applyFont="1" applyBorder="1" applyAlignment="1">
      <alignment horizontal="left" vertical="center" wrapText="1" indent="1"/>
    </xf>
    <xf numFmtId="0" fontId="272" fillId="0" borderId="24" xfId="0" applyFont="1" applyBorder="1" applyAlignment="1">
      <alignment horizontal="left" vertical="center" wrapText="1" indent="1"/>
    </xf>
    <xf numFmtId="0" fontId="272" fillId="0" borderId="18" xfId="0" applyFont="1" applyBorder="1" applyAlignment="1">
      <alignment horizontal="left" vertical="center" wrapText="1" indent="1"/>
    </xf>
    <xf numFmtId="0" fontId="272" fillId="0" borderId="19" xfId="0" applyFont="1" applyBorder="1" applyAlignment="1">
      <alignment horizontal="left" vertical="center" wrapText="1" indent="1"/>
    </xf>
    <xf numFmtId="0" fontId="272" fillId="0" borderId="20" xfId="0" applyFont="1" applyBorder="1" applyAlignment="1">
      <alignment horizontal="left" vertical="center" wrapText="1" indent="1"/>
    </xf>
    <xf numFmtId="0" fontId="87" fillId="2" borderId="27" xfId="50" applyFont="1" applyFill="1" applyBorder="1" applyAlignment="1">
      <alignment horizontal="center" vertical="center"/>
    </xf>
    <xf numFmtId="0" fontId="205" fillId="2" borderId="17" xfId="50" applyFont="1" applyFill="1" applyBorder="1" applyAlignment="1">
      <alignment horizontal="center" vertical="center" textRotation="90"/>
    </xf>
    <xf numFmtId="0" fontId="205" fillId="2" borderId="86" xfId="50" applyFont="1" applyFill="1" applyBorder="1" applyAlignment="1">
      <alignment horizontal="center" vertical="center" textRotation="90"/>
    </xf>
    <xf numFmtId="0" fontId="422" fillId="2" borderId="272" xfId="0" applyFont="1" applyFill="1" applyBorder="1" applyAlignment="1">
      <alignment horizontal="center" vertical="center"/>
    </xf>
    <xf numFmtId="0" fontId="82" fillId="2" borderId="274" xfId="0" applyFont="1" applyFill="1" applyBorder="1" applyAlignment="1">
      <alignment horizontal="center" vertical="center"/>
    </xf>
    <xf numFmtId="0" fontId="82" fillId="2" borderId="272" xfId="0" applyFont="1" applyFill="1" applyBorder="1" applyAlignment="1">
      <alignment horizontal="center" vertical="center"/>
    </xf>
    <xf numFmtId="0" fontId="155" fillId="6" borderId="15" xfId="50" applyFont="1" applyFill="1" applyBorder="1" applyAlignment="1">
      <alignment horizontal="center" vertical="center"/>
    </xf>
    <xf numFmtId="0" fontId="155" fillId="6" borderId="16" xfId="50" applyFont="1" applyFill="1" applyBorder="1" applyAlignment="1">
      <alignment horizontal="center" vertical="center"/>
    </xf>
    <xf numFmtId="10" fontId="70" fillId="8" borderId="22" xfId="50" applyNumberFormat="1" applyFont="1" applyFill="1" applyBorder="1" applyAlignment="1">
      <alignment horizontal="center" vertical="center"/>
    </xf>
    <xf numFmtId="0" fontId="0" fillId="0" borderId="22" xfId="0" applyBorder="1" applyAlignment="1">
      <alignment vertical="center"/>
    </xf>
    <xf numFmtId="0" fontId="92" fillId="39" borderId="19" xfId="50" applyFont="1" applyFill="1" applyBorder="1" applyAlignment="1">
      <alignment horizontal="right" vertical="center"/>
    </xf>
    <xf numFmtId="0" fontId="92" fillId="39" borderId="20" xfId="0" applyFont="1" applyFill="1" applyBorder="1" applyAlignment="1">
      <alignment vertical="center"/>
    </xf>
    <xf numFmtId="0" fontId="87" fillId="0" borderId="26" xfId="0" applyFont="1" applyBorder="1" applyAlignment="1">
      <alignment horizontal="center" vertical="center"/>
    </xf>
    <xf numFmtId="0" fontId="87" fillId="0" borderId="27" xfId="0" applyFont="1" applyBorder="1" applyAlignment="1">
      <alignment horizontal="center" vertical="center"/>
    </xf>
    <xf numFmtId="0" fontId="345" fillId="39" borderId="14" xfId="0" applyFont="1" applyFill="1" applyBorder="1" applyAlignment="1">
      <alignment horizontal="center" vertical="center" wrapText="1"/>
    </xf>
    <xf numFmtId="0" fontId="84" fillId="39" borderId="16" xfId="0" applyFont="1" applyFill="1" applyBorder="1" applyAlignment="1">
      <alignment vertical="center"/>
    </xf>
    <xf numFmtId="0" fontId="84" fillId="39" borderId="23" xfId="0" applyFont="1" applyFill="1" applyBorder="1" applyAlignment="1">
      <alignment vertical="center"/>
    </xf>
    <xf numFmtId="0" fontId="84" fillId="39" borderId="24" xfId="0" applyFont="1" applyFill="1" applyBorder="1" applyAlignment="1">
      <alignment vertical="center"/>
    </xf>
    <xf numFmtId="0" fontId="84" fillId="39" borderId="18" xfId="0" applyFont="1" applyFill="1" applyBorder="1" applyAlignment="1">
      <alignment vertical="center"/>
    </xf>
    <xf numFmtId="0" fontId="84" fillId="39" borderId="20" xfId="0" applyFont="1" applyFill="1" applyBorder="1" applyAlignment="1">
      <alignment vertical="center"/>
    </xf>
    <xf numFmtId="0" fontId="205" fillId="2" borderId="86" xfId="0" applyFont="1" applyFill="1" applyBorder="1" applyAlignment="1">
      <alignment horizontal="center" vertical="center" textRotation="90"/>
    </xf>
    <xf numFmtId="0" fontId="205" fillId="2" borderId="21" xfId="0" applyFont="1" applyFill="1" applyBorder="1" applyAlignment="1">
      <alignment horizontal="center" vertical="center" textRotation="90"/>
    </xf>
    <xf numFmtId="0" fontId="205" fillId="2" borderId="21" xfId="50" applyFont="1" applyFill="1" applyBorder="1" applyAlignment="1">
      <alignment horizontal="center" vertical="center" textRotation="90"/>
    </xf>
    <xf numFmtId="0" fontId="92" fillId="39" borderId="0" xfId="50" applyFont="1" applyFill="1" applyBorder="1" applyAlignment="1">
      <alignment horizontal="right" vertical="center"/>
    </xf>
    <xf numFmtId="0" fontId="92" fillId="39" borderId="24" xfId="50" applyFont="1" applyFill="1" applyBorder="1" applyAlignment="1">
      <alignment horizontal="right" vertical="center"/>
    </xf>
    <xf numFmtId="0" fontId="70" fillId="0" borderId="25" xfId="50" applyFont="1" applyBorder="1" applyAlignment="1">
      <alignment horizontal="center" vertical="center"/>
    </xf>
    <xf numFmtId="0" fontId="70" fillId="0" borderId="26" xfId="50" applyFont="1" applyBorder="1" applyAlignment="1">
      <alignment horizontal="center" vertical="center"/>
    </xf>
    <xf numFmtId="0" fontId="70" fillId="0" borderId="27" xfId="50" applyFont="1" applyBorder="1" applyAlignment="1">
      <alignment horizontal="center" vertical="center"/>
    </xf>
    <xf numFmtId="0" fontId="92" fillId="39" borderId="24" xfId="0" applyFont="1" applyFill="1" applyBorder="1" applyAlignment="1">
      <alignment vertical="center"/>
    </xf>
    <xf numFmtId="0" fontId="259" fillId="39" borderId="14" xfId="0" applyFont="1" applyFill="1" applyBorder="1" applyAlignment="1">
      <alignment horizontal="center" vertical="center" wrapText="1"/>
    </xf>
    <xf numFmtId="0" fontId="259" fillId="39" borderId="23" xfId="0" applyFont="1" applyFill="1" applyBorder="1" applyAlignment="1">
      <alignment horizontal="center" vertical="center" wrapText="1"/>
    </xf>
    <xf numFmtId="0" fontId="259" fillId="39" borderId="18" xfId="0" applyFont="1" applyFill="1" applyBorder="1" applyAlignment="1">
      <alignment horizontal="center" vertical="center" wrapText="1"/>
    </xf>
    <xf numFmtId="0" fontId="259" fillId="39" borderId="14" xfId="50" applyFont="1" applyFill="1" applyBorder="1" applyAlignment="1">
      <alignment horizontal="center" vertical="center" wrapText="1"/>
    </xf>
    <xf numFmtId="0" fontId="259" fillId="39" borderId="23" xfId="50" applyFont="1" applyFill="1" applyBorder="1" applyAlignment="1">
      <alignment horizontal="center" vertical="center" wrapText="1"/>
    </xf>
    <xf numFmtId="0" fontId="259" fillId="39" borderId="18" xfId="50" applyFont="1" applyFill="1" applyBorder="1" applyAlignment="1">
      <alignment horizontal="center" vertical="center" wrapText="1"/>
    </xf>
    <xf numFmtId="0" fontId="52" fillId="6" borderId="22" xfId="50" applyFont="1" applyFill="1" applyBorder="1" applyAlignment="1">
      <alignment vertical="center"/>
    </xf>
    <xf numFmtId="0" fontId="217" fillId="4" borderId="14" xfId="0" applyFont="1" applyFill="1" applyBorder="1" applyAlignment="1">
      <alignment horizontal="center" textRotation="90"/>
    </xf>
    <xf numFmtId="0" fontId="218" fillId="4" borderId="23" xfId="0" applyFont="1" applyFill="1" applyBorder="1" applyAlignment="1">
      <alignment horizontal="center"/>
    </xf>
    <xf numFmtId="0" fontId="218" fillId="4" borderId="18" xfId="0" applyFont="1" applyFill="1" applyBorder="1" applyAlignment="1">
      <alignment horizontal="center"/>
    </xf>
    <xf numFmtId="0" fontId="152" fillId="2" borderId="17" xfId="50" applyFont="1" applyFill="1" applyBorder="1" applyAlignment="1">
      <alignment horizontal="center" vertical="center" textRotation="90" wrapText="1"/>
    </xf>
    <xf numFmtId="0" fontId="152" fillId="2" borderId="86" xfId="50" applyFont="1" applyFill="1" applyBorder="1" applyAlignment="1">
      <alignment horizontal="center" vertical="center" textRotation="90" wrapText="1"/>
    </xf>
    <xf numFmtId="0" fontId="70" fillId="0" borderId="271" xfId="0" applyFont="1" applyFill="1" applyBorder="1" applyAlignment="1">
      <alignment horizontal="center" vertical="center" wrapText="1"/>
    </xf>
    <xf numFmtId="0" fontId="92" fillId="0" borderId="276" xfId="0" applyFont="1" applyBorder="1" applyAlignment="1"/>
    <xf numFmtId="0" fontId="0" fillId="0" borderId="276" xfId="0" applyBorder="1" applyAlignment="1"/>
    <xf numFmtId="0" fontId="0" fillId="0" borderId="277" xfId="0" applyBorder="1" applyAlignment="1"/>
    <xf numFmtId="164" fontId="70" fillId="0" borderId="22" xfId="0" applyNumberFormat="1" applyFont="1" applyFill="1" applyBorder="1" applyAlignment="1">
      <alignment vertical="center"/>
    </xf>
    <xf numFmtId="0" fontId="64" fillId="0" borderId="26" xfId="0" applyFont="1" applyBorder="1" applyAlignment="1">
      <alignment horizontal="center" vertical="center"/>
    </xf>
    <xf numFmtId="0" fontId="64" fillId="0" borderId="27" xfId="0" applyFont="1" applyBorder="1" applyAlignment="1">
      <alignment horizontal="center" vertical="center"/>
    </xf>
    <xf numFmtId="0" fontId="70" fillId="0" borderId="22" xfId="50" applyFont="1" applyBorder="1" applyAlignment="1">
      <alignment horizontal="right" vertical="center"/>
    </xf>
    <xf numFmtId="0" fontId="92" fillId="0" borderId="22" xfId="0" applyFont="1" applyBorder="1" applyAlignment="1">
      <alignment vertical="center"/>
    </xf>
    <xf numFmtId="164" fontId="52" fillId="0" borderId="22" xfId="50" applyNumberFormat="1" applyFont="1" applyBorder="1" applyAlignment="1">
      <alignment horizontal="center" vertical="center"/>
    </xf>
    <xf numFmtId="0" fontId="308" fillId="13" borderId="25" xfId="50" applyFont="1" applyFill="1" applyBorder="1" applyAlignment="1">
      <alignment horizontal="center" vertical="center"/>
    </xf>
    <xf numFmtId="0" fontId="308" fillId="0" borderId="27" xfId="0" applyFont="1" applyBorder="1" applyAlignment="1"/>
    <xf numFmtId="0" fontId="29" fillId="0" borderId="17" xfId="0" applyFont="1" applyBorder="1" applyAlignment="1">
      <alignment horizontal="center" vertical="center" textRotation="90" wrapText="1"/>
    </xf>
    <xf numFmtId="0" fontId="0" fillId="0" borderId="86" xfId="0" applyBorder="1" applyAlignment="1">
      <alignment vertical="center"/>
    </xf>
    <xf numFmtId="0" fontId="0" fillId="0" borderId="21" xfId="0" applyBorder="1" applyAlignment="1">
      <alignment vertical="center"/>
    </xf>
    <xf numFmtId="0" fontId="22" fillId="6" borderId="16" xfId="0" applyFont="1" applyFill="1" applyBorder="1" applyAlignment="1">
      <alignment horizontal="center" vertical="center" wrapText="1"/>
    </xf>
    <xf numFmtId="0" fontId="22" fillId="0" borderId="20" xfId="0" applyFont="1" applyBorder="1" applyAlignment="1">
      <alignment horizontal="center" vertical="center" wrapText="1"/>
    </xf>
    <xf numFmtId="0" fontId="156" fillId="6" borderId="14" xfId="50" applyFont="1" applyFill="1" applyBorder="1" applyAlignment="1">
      <alignment horizontal="center" vertical="center" wrapText="1"/>
    </xf>
    <xf numFmtId="0" fontId="51" fillId="0" borderId="15" xfId="0" applyFont="1" applyBorder="1" applyAlignment="1">
      <alignment horizontal="center" vertical="center" wrapText="1"/>
    </xf>
    <xf numFmtId="0" fontId="51" fillId="0" borderId="16" xfId="0" applyFont="1" applyBorder="1" applyAlignment="1">
      <alignment horizontal="center" vertical="center" wrapText="1"/>
    </xf>
    <xf numFmtId="0" fontId="51" fillId="0" borderId="23" xfId="0" applyFont="1" applyBorder="1" applyAlignment="1">
      <alignment horizontal="center" vertical="center" wrapText="1"/>
    </xf>
    <xf numFmtId="0" fontId="51" fillId="0" borderId="0" xfId="0" applyFont="1" applyAlignment="1">
      <alignment horizontal="center" vertical="center" wrapText="1"/>
    </xf>
    <xf numFmtId="0" fontId="51" fillId="0" borderId="24" xfId="0" applyFont="1" applyBorder="1" applyAlignment="1">
      <alignment horizontal="center" vertical="center" wrapText="1"/>
    </xf>
    <xf numFmtId="0" fontId="51" fillId="0" borderId="18" xfId="0" applyFont="1" applyBorder="1" applyAlignment="1">
      <alignment horizontal="center" vertical="center" wrapText="1"/>
    </xf>
    <xf numFmtId="0" fontId="51" fillId="0" borderId="19" xfId="0" applyFont="1" applyBorder="1" applyAlignment="1">
      <alignment horizontal="center" vertical="center" wrapText="1"/>
    </xf>
    <xf numFmtId="0" fontId="51" fillId="0" borderId="20" xfId="0" applyFont="1" applyBorder="1" applyAlignment="1">
      <alignment horizontal="center" vertical="center" wrapText="1"/>
    </xf>
    <xf numFmtId="0" fontId="312" fillId="4" borderId="25" xfId="50" applyFont="1" applyFill="1" applyBorder="1" applyAlignment="1">
      <alignment horizontal="center" vertical="center"/>
    </xf>
    <xf numFmtId="0" fontId="313" fillId="4" borderId="27" xfId="0" applyFont="1" applyFill="1" applyBorder="1" applyAlignment="1">
      <alignment horizontal="center" vertical="center"/>
    </xf>
    <xf numFmtId="0" fontId="79" fillId="2" borderId="25" xfId="0" applyFont="1" applyFill="1" applyBorder="1" applyAlignment="1">
      <alignment horizontal="center" vertical="center"/>
    </xf>
    <xf numFmtId="0" fontId="278" fillId="0" borderId="27" xfId="0" applyFont="1" applyBorder="1" applyAlignment="1">
      <alignment horizontal="center" vertical="center"/>
    </xf>
    <xf numFmtId="0" fontId="53" fillId="9" borderId="25" xfId="0" applyFont="1" applyFill="1" applyBorder="1" applyAlignment="1">
      <alignment horizontal="right" vertical="center"/>
    </xf>
    <xf numFmtId="0" fontId="53" fillId="9" borderId="27" xfId="0" applyFont="1" applyFill="1" applyBorder="1" applyAlignment="1">
      <alignment horizontal="right" vertical="center"/>
    </xf>
    <xf numFmtId="0" fontId="110" fillId="2" borderId="25" xfId="50" applyFont="1" applyFill="1" applyBorder="1" applyAlignment="1">
      <alignment horizontal="center" vertical="center"/>
    </xf>
    <xf numFmtId="0" fontId="79" fillId="2" borderId="26" xfId="0" applyFont="1" applyFill="1" applyBorder="1" applyAlignment="1">
      <alignment horizontal="center" vertical="center"/>
    </xf>
    <xf numFmtId="0" fontId="79" fillId="2" borderId="27" xfId="0" applyFont="1" applyFill="1" applyBorder="1" applyAlignment="1">
      <alignment horizontal="center" vertical="center"/>
    </xf>
    <xf numFmtId="0" fontId="79" fillId="2" borderId="18" xfId="0" applyFont="1" applyFill="1" applyBorder="1" applyAlignment="1">
      <alignment horizontal="center" vertical="center" wrapText="1"/>
    </xf>
    <xf numFmtId="0" fontId="196" fillId="2" borderId="19" xfId="0" applyFont="1" applyFill="1" applyBorder="1" applyAlignment="1"/>
    <xf numFmtId="0" fontId="196" fillId="2" borderId="20" xfId="0" applyFont="1" applyFill="1" applyBorder="1" applyAlignment="1"/>
    <xf numFmtId="0" fontId="123" fillId="6" borderId="25" xfId="0" applyFont="1" applyFill="1" applyBorder="1" applyAlignment="1">
      <alignment horizontal="center" vertical="center"/>
    </xf>
    <xf numFmtId="0" fontId="123" fillId="6" borderId="26" xfId="0" applyFont="1" applyFill="1" applyBorder="1" applyAlignment="1">
      <alignment horizontal="center" vertical="center"/>
    </xf>
    <xf numFmtId="0" fontId="123" fillId="6" borderId="27" xfId="0" applyFont="1" applyFill="1" applyBorder="1" applyAlignment="1">
      <alignment horizontal="center" vertical="center"/>
    </xf>
    <xf numFmtId="0" fontId="314" fillId="4" borderId="25" xfId="0" applyFont="1" applyFill="1" applyBorder="1" applyAlignment="1">
      <alignment horizontal="center" vertical="center"/>
    </xf>
    <xf numFmtId="0" fontId="314" fillId="4" borderId="26" xfId="0" applyFont="1" applyFill="1" applyBorder="1" applyAlignment="1">
      <alignment horizontal="center" vertical="center"/>
    </xf>
    <xf numFmtId="0" fontId="314" fillId="4" borderId="27" xfId="0" applyFont="1" applyFill="1" applyBorder="1" applyAlignment="1">
      <alignment horizontal="center" vertical="center"/>
    </xf>
    <xf numFmtId="0" fontId="78" fillId="9" borderId="25" xfId="0" applyFont="1" applyFill="1" applyBorder="1" applyAlignment="1">
      <alignment horizontal="center" vertical="center"/>
    </xf>
    <xf numFmtId="0" fontId="78" fillId="9" borderId="27" xfId="0" applyFont="1" applyFill="1" applyBorder="1" applyAlignment="1">
      <alignment horizontal="center" vertical="center"/>
    </xf>
    <xf numFmtId="0" fontId="174" fillId="2" borderId="25" xfId="50" applyFont="1" applyFill="1" applyBorder="1" applyAlignment="1">
      <alignment horizontal="center" vertical="center" wrapText="1"/>
    </xf>
    <xf numFmtId="0" fontId="301" fillId="2" borderId="26" xfId="0" applyFont="1" applyFill="1" applyBorder="1" applyAlignment="1">
      <alignment horizontal="center" vertical="center"/>
    </xf>
    <xf numFmtId="0" fontId="301" fillId="2" borderId="27" xfId="0" applyFont="1" applyFill="1" applyBorder="1" applyAlignment="1">
      <alignment horizontal="center" vertical="center"/>
    </xf>
    <xf numFmtId="0" fontId="183" fillId="2" borderId="173" xfId="0" applyFont="1" applyFill="1" applyBorder="1" applyAlignment="1">
      <alignment horizontal="center" vertical="center"/>
    </xf>
    <xf numFmtId="0" fontId="308" fillId="13" borderId="25" xfId="50" applyFont="1" applyFill="1" applyBorder="1" applyAlignment="1">
      <alignment horizontal="center" vertical="center" wrapText="1"/>
    </xf>
    <xf numFmtId="166" fontId="70" fillId="0" borderId="17" xfId="0" applyNumberFormat="1" applyFont="1" applyBorder="1" applyAlignment="1">
      <alignment horizontal="center" vertical="center"/>
    </xf>
    <xf numFmtId="0" fontId="70" fillId="0" borderId="21" xfId="0" applyFont="1" applyBorder="1" applyAlignment="1">
      <alignment horizontal="center" vertical="center"/>
    </xf>
    <xf numFmtId="0" fontId="183" fillId="2" borderId="27" xfId="0" applyFont="1" applyFill="1" applyBorder="1" applyAlignment="1">
      <alignment horizontal="center" vertical="center"/>
    </xf>
    <xf numFmtId="0" fontId="69" fillId="2" borderId="25" xfId="50" applyFont="1" applyFill="1" applyBorder="1" applyAlignment="1">
      <alignment horizontal="center" vertical="center" wrapText="1"/>
    </xf>
    <xf numFmtId="0" fontId="0" fillId="0" borderId="27" xfId="0" applyBorder="1" applyAlignment="1">
      <alignment horizontal="center" vertical="center"/>
    </xf>
    <xf numFmtId="0" fontId="78" fillId="0" borderId="25" xfId="0" applyFont="1" applyBorder="1" applyAlignment="1">
      <alignment horizontal="center" vertical="center"/>
    </xf>
    <xf numFmtId="0" fontId="78" fillId="0" borderId="27" xfId="0" applyFont="1" applyBorder="1" applyAlignment="1">
      <alignment horizontal="center" vertical="center"/>
    </xf>
    <xf numFmtId="0" fontId="275" fillId="0" borderId="0" xfId="0" applyFont="1" applyBorder="1" applyAlignment="1">
      <alignment horizontal="center" vertical="center"/>
    </xf>
    <xf numFmtId="0" fontId="51" fillId="0" borderId="25" xfId="0" applyFont="1" applyBorder="1" applyAlignment="1">
      <alignment horizontal="center" vertical="center" wrapText="1"/>
    </xf>
    <xf numFmtId="0" fontId="51" fillId="0" borderId="27" xfId="0" applyFont="1" applyBorder="1" applyAlignment="1">
      <alignment horizontal="center" vertical="center" wrapText="1"/>
    </xf>
    <xf numFmtId="0" fontId="123" fillId="0" borderId="25" xfId="0" applyFont="1" applyBorder="1" applyAlignment="1">
      <alignment horizontal="center"/>
    </xf>
    <xf numFmtId="0" fontId="123" fillId="0" borderId="27" xfId="0" applyFont="1" applyBorder="1" applyAlignment="1">
      <alignment horizontal="center"/>
    </xf>
    <xf numFmtId="0" fontId="301" fillId="2" borderId="25" xfId="0" applyFont="1" applyFill="1" applyBorder="1" applyAlignment="1">
      <alignment horizontal="center" vertical="center"/>
    </xf>
    <xf numFmtId="0" fontId="279" fillId="12" borderId="25" xfId="0" applyFont="1" applyFill="1" applyBorder="1" applyAlignment="1">
      <alignment horizontal="center" vertical="center"/>
    </xf>
    <xf numFmtId="0" fontId="279" fillId="12" borderId="27" xfId="0" applyFont="1" applyFill="1" applyBorder="1" applyAlignment="1">
      <alignment horizontal="center" vertical="center"/>
    </xf>
    <xf numFmtId="0" fontId="315" fillId="6" borderId="17" xfId="0" applyFont="1" applyFill="1" applyBorder="1" applyAlignment="1">
      <alignment horizontal="center" wrapText="1"/>
    </xf>
    <xf numFmtId="0" fontId="316" fillId="0" borderId="21" xfId="0" applyFont="1" applyBorder="1" applyAlignment="1">
      <alignment horizontal="center" wrapText="1"/>
    </xf>
    <xf numFmtId="0" fontId="155" fillId="0" borderId="14" xfId="0" applyFont="1" applyBorder="1" applyAlignment="1">
      <alignment horizontal="center" vertical="center" wrapText="1"/>
    </xf>
    <xf numFmtId="0" fontId="155" fillId="0" borderId="15" xfId="0" applyFont="1" applyBorder="1" applyAlignment="1">
      <alignment wrapText="1"/>
    </xf>
    <xf numFmtId="0" fontId="155" fillId="0" borderId="16" xfId="0" applyFont="1" applyBorder="1" applyAlignment="1">
      <alignment wrapText="1"/>
    </xf>
    <xf numFmtId="0" fontId="155" fillId="0" borderId="18" xfId="0" applyFont="1" applyBorder="1" applyAlignment="1">
      <alignment wrapText="1"/>
    </xf>
    <xf numFmtId="0" fontId="155" fillId="0" borderId="19" xfId="0" applyFont="1" applyBorder="1" applyAlignment="1">
      <alignment wrapText="1"/>
    </xf>
    <xf numFmtId="0" fontId="155" fillId="0" borderId="20" xfId="0" applyFont="1" applyBorder="1" applyAlignment="1">
      <alignment wrapText="1"/>
    </xf>
    <xf numFmtId="166" fontId="51" fillId="12" borderId="86" xfId="0" applyNumberFormat="1" applyFont="1" applyFill="1" applyBorder="1" applyAlignment="1">
      <alignment horizontal="center" vertical="center" wrapText="1"/>
    </xf>
    <xf numFmtId="0" fontId="0" fillId="12" borderId="86" xfId="0" applyFill="1" applyBorder="1" applyAlignment="1">
      <alignment wrapText="1"/>
    </xf>
    <xf numFmtId="0" fontId="79" fillId="2" borderId="14" xfId="0" applyFont="1" applyFill="1" applyBorder="1" applyAlignment="1">
      <alignment horizontal="right" vertical="center" wrapText="1"/>
    </xf>
    <xf numFmtId="0" fontId="162" fillId="2" borderId="15" xfId="0" applyFont="1" applyFill="1" applyBorder="1" applyAlignment="1">
      <alignment horizontal="right"/>
    </xf>
    <xf numFmtId="0" fontId="162" fillId="2" borderId="16" xfId="0" applyFont="1" applyFill="1" applyBorder="1" applyAlignment="1">
      <alignment horizontal="right"/>
    </xf>
    <xf numFmtId="0" fontId="0" fillId="0" borderId="18" xfId="0" applyBorder="1" applyAlignment="1">
      <alignment horizontal="right"/>
    </xf>
    <xf numFmtId="0" fontId="0" fillId="0" borderId="19" xfId="0" applyBorder="1" applyAlignment="1">
      <alignment horizontal="right"/>
    </xf>
    <xf numFmtId="0" fontId="0" fillId="0" borderId="20" xfId="0" applyBorder="1" applyAlignment="1">
      <alignment horizontal="right"/>
    </xf>
    <xf numFmtId="0" fontId="78" fillId="0" borderId="25" xfId="0" applyFont="1" applyFill="1" applyBorder="1" applyAlignment="1">
      <alignment vertical="center"/>
    </xf>
    <xf numFmtId="0" fontId="78" fillId="0" borderId="26" xfId="0" applyFont="1" applyFill="1" applyBorder="1" applyAlignment="1">
      <alignment vertical="center"/>
    </xf>
    <xf numFmtId="0" fontId="52" fillId="0" borderId="27" xfId="0" applyFont="1" applyFill="1" applyBorder="1" applyAlignment="1"/>
    <xf numFmtId="0" fontId="81" fillId="4" borderId="25" xfId="0" applyFont="1" applyFill="1" applyBorder="1" applyAlignment="1">
      <alignment horizontal="center" vertical="center"/>
    </xf>
    <xf numFmtId="0" fontId="0" fillId="0" borderId="26" xfId="0" applyBorder="1" applyAlignment="1">
      <alignment horizontal="center"/>
    </xf>
    <xf numFmtId="0" fontId="222" fillId="0" borderId="25" xfId="0" applyFont="1" applyFill="1" applyBorder="1" applyAlignment="1">
      <alignment vertical="center"/>
    </xf>
    <xf numFmtId="0" fontId="238" fillId="4" borderId="25" xfId="0" applyFont="1" applyFill="1" applyBorder="1" applyAlignment="1">
      <alignment horizontal="center" vertical="center"/>
    </xf>
    <xf numFmtId="0" fontId="0" fillId="0" borderId="26" xfId="0" applyBorder="1" applyAlignment="1">
      <alignment vertical="center"/>
    </xf>
    <xf numFmtId="0" fontId="0" fillId="0" borderId="27" xfId="0" applyBorder="1" applyAlignment="1">
      <alignment vertical="center"/>
    </xf>
    <xf numFmtId="0" fontId="78" fillId="0" borderId="25" xfId="0" applyFont="1" applyBorder="1" applyAlignment="1">
      <alignment vertical="center" wrapText="1"/>
    </xf>
    <xf numFmtId="0" fontId="78" fillId="0" borderId="26" xfId="0" applyFont="1" applyBorder="1" applyAlignment="1">
      <alignment vertical="center" wrapText="1"/>
    </xf>
    <xf numFmtId="0" fontId="78" fillId="0" borderId="27" xfId="0" applyFont="1" applyBorder="1" applyAlignment="1">
      <alignment vertical="center" wrapText="1"/>
    </xf>
    <xf numFmtId="0" fontId="149" fillId="2" borderId="272" xfId="0" applyFont="1" applyFill="1" applyBorder="1" applyAlignment="1">
      <alignment horizontal="right" vertical="center"/>
    </xf>
    <xf numFmtId="0" fontId="197" fillId="2" borderId="297" xfId="0" applyFont="1" applyFill="1" applyBorder="1" applyAlignment="1">
      <alignment vertical="center"/>
    </xf>
    <xf numFmtId="0" fontId="51" fillId="6" borderId="28" xfId="0" applyFont="1" applyFill="1" applyBorder="1" applyAlignment="1"/>
    <xf numFmtId="0" fontId="64" fillId="6" borderId="29" xfId="0" applyFont="1" applyFill="1" applyBorder="1" applyAlignment="1"/>
    <xf numFmtId="0" fontId="197" fillId="2" borderId="297" xfId="0" applyFont="1" applyFill="1" applyBorder="1" applyAlignment="1"/>
    <xf numFmtId="0" fontId="149" fillId="2" borderId="298" xfId="0" applyFont="1" applyFill="1" applyBorder="1" applyAlignment="1">
      <alignment horizontal="right" vertical="center"/>
    </xf>
    <xf numFmtId="0" fontId="197" fillId="2" borderId="269" xfId="0" applyFont="1" applyFill="1" applyBorder="1" applyAlignment="1"/>
    <xf numFmtId="0" fontId="53" fillId="6" borderId="28" xfId="0" applyFont="1" applyFill="1" applyBorder="1" applyAlignment="1">
      <alignment horizontal="left"/>
    </xf>
    <xf numFmtId="0" fontId="0" fillId="0" borderId="29" xfId="0" applyBorder="1" applyAlignment="1">
      <alignment horizontal="left"/>
    </xf>
    <xf numFmtId="2" fontId="238" fillId="2" borderId="139" xfId="0" applyNumberFormat="1" applyFont="1" applyFill="1" applyBorder="1" applyAlignment="1">
      <alignment horizontal="center" vertical="center"/>
    </xf>
    <xf numFmtId="2" fontId="278" fillId="0" borderId="173" xfId="0" applyNumberFormat="1" applyFont="1" applyBorder="1" applyAlignment="1">
      <alignment horizontal="center" vertical="center"/>
    </xf>
    <xf numFmtId="2" fontId="278" fillId="0" borderId="143" xfId="0" applyNumberFormat="1" applyFont="1" applyBorder="1" applyAlignment="1">
      <alignment horizontal="center" vertical="center"/>
    </xf>
    <xf numFmtId="2" fontId="278" fillId="0" borderId="259" xfId="0" applyNumberFormat="1" applyFont="1" applyBorder="1" applyAlignment="1">
      <alignment horizontal="center" vertical="center"/>
    </xf>
    <xf numFmtId="2" fontId="69" fillId="0" borderId="173" xfId="0" applyNumberFormat="1" applyFont="1" applyBorder="1" applyAlignment="1">
      <alignment horizontal="center" vertical="center"/>
    </xf>
    <xf numFmtId="2" fontId="69" fillId="0" borderId="143" xfId="0" applyNumberFormat="1" applyFont="1" applyBorder="1" applyAlignment="1">
      <alignment horizontal="center" vertical="center"/>
    </xf>
    <xf numFmtId="2" fontId="69" fillId="0" borderId="259" xfId="0" applyNumberFormat="1" applyFont="1" applyBorder="1" applyAlignment="1">
      <alignment horizontal="center" vertical="center"/>
    </xf>
    <xf numFmtId="2" fontId="207" fillId="2" borderId="85" xfId="0" applyNumberFormat="1" applyFont="1" applyFill="1" applyBorder="1" applyAlignment="1">
      <alignment horizontal="center" vertical="top"/>
    </xf>
    <xf numFmtId="0" fontId="0" fillId="0" borderId="99" xfId="0" applyBorder="1" applyAlignment="1">
      <alignment horizontal="center" vertical="top"/>
    </xf>
    <xf numFmtId="0" fontId="238" fillId="11" borderId="295" xfId="0" applyFont="1" applyFill="1" applyBorder="1" applyAlignment="1">
      <alignment horizontal="center" vertical="center"/>
    </xf>
    <xf numFmtId="0" fontId="198" fillId="11" borderId="82" xfId="0" applyFont="1" applyFill="1" applyBorder="1" applyAlignment="1">
      <alignment horizontal="center"/>
    </xf>
    <xf numFmtId="0" fontId="198" fillId="11" borderId="296" xfId="0" applyFont="1" applyFill="1" applyBorder="1" applyAlignment="1">
      <alignment horizontal="center"/>
    </xf>
    <xf numFmtId="0" fontId="162" fillId="2" borderId="17" xfId="0" applyFont="1" applyFill="1" applyBorder="1" applyAlignment="1">
      <alignment horizontal="center" vertical="center" wrapText="1"/>
    </xf>
    <xf numFmtId="0" fontId="162" fillId="2" borderId="234" xfId="0" applyFont="1" applyFill="1" applyBorder="1" applyAlignment="1"/>
    <xf numFmtId="0" fontId="162" fillId="2" borderId="86" xfId="0" applyFont="1" applyFill="1" applyBorder="1" applyAlignment="1"/>
    <xf numFmtId="0" fontId="82" fillId="2" borderId="17" xfId="0" applyFont="1" applyFill="1" applyBorder="1" applyAlignment="1">
      <alignment horizontal="center" vertical="center" wrapText="1"/>
    </xf>
    <xf numFmtId="0" fontId="82" fillId="2" borderId="234" xfId="0" applyFont="1" applyFill="1" applyBorder="1" applyAlignment="1">
      <alignment horizontal="center" wrapText="1"/>
    </xf>
    <xf numFmtId="0" fontId="64" fillId="6" borderId="30" xfId="0" applyFont="1" applyFill="1" applyBorder="1" applyAlignment="1"/>
    <xf numFmtId="0" fontId="12" fillId="6" borderId="23" xfId="0" applyFont="1" applyFill="1" applyBorder="1" applyAlignment="1">
      <alignment horizontal="center" vertical="center" wrapText="1"/>
    </xf>
    <xf numFmtId="0" fontId="13" fillId="6" borderId="24" xfId="0" applyFont="1" applyFill="1" applyBorder="1" applyAlignment="1">
      <alignment vertical="center"/>
    </xf>
    <xf numFmtId="0" fontId="208" fillId="2" borderId="156" xfId="0" applyFont="1" applyFill="1" applyBorder="1" applyAlignment="1">
      <alignment horizontal="center" vertical="center"/>
    </xf>
    <xf numFmtId="0" fontId="208" fillId="2" borderId="144" xfId="0" applyFont="1" applyFill="1" applyBorder="1" applyAlignment="1">
      <alignment vertical="center"/>
    </xf>
    <xf numFmtId="0" fontId="52" fillId="0" borderId="85" xfId="0" applyFont="1" applyBorder="1" applyAlignment="1">
      <alignment horizontal="center" vertical="center"/>
    </xf>
    <xf numFmtId="0" fontId="52" fillId="0" borderId="99" xfId="0" applyFont="1" applyBorder="1" applyAlignment="1">
      <alignment horizontal="center" vertical="center"/>
    </xf>
    <xf numFmtId="0" fontId="52" fillId="0" borderId="214" xfId="0" applyFont="1" applyBorder="1" applyAlignment="1">
      <alignment horizontal="center" vertical="center"/>
    </xf>
    <xf numFmtId="0" fontId="52" fillId="0" borderId="234" xfId="0" applyFont="1" applyBorder="1" applyAlignment="1">
      <alignment horizontal="center" vertical="center"/>
    </xf>
    <xf numFmtId="0" fontId="251" fillId="2" borderId="14" xfId="0" applyFont="1" applyFill="1" applyBorder="1" applyAlignment="1">
      <alignment horizontal="center" vertical="center" wrapText="1"/>
    </xf>
    <xf numFmtId="0" fontId="251" fillId="2" borderId="15" xfId="0" applyFont="1" applyFill="1" applyBorder="1" applyAlignment="1">
      <alignment horizontal="center" vertical="center" wrapText="1"/>
    </xf>
    <xf numFmtId="0" fontId="251" fillId="2" borderId="43" xfId="0" applyFont="1" applyFill="1" applyBorder="1" applyAlignment="1">
      <alignment horizontal="center" vertical="center" wrapText="1"/>
    </xf>
    <xf numFmtId="0" fontId="251" fillId="2" borderId="28" xfId="0" applyFont="1" applyFill="1" applyBorder="1" applyAlignment="1">
      <alignment horizontal="center" vertical="center"/>
    </xf>
    <xf numFmtId="0" fontId="251" fillId="2" borderId="29" xfId="0" applyFont="1" applyFill="1" applyBorder="1" applyAlignment="1">
      <alignment horizontal="center" vertical="center"/>
    </xf>
    <xf numFmtId="0" fontId="251" fillId="2" borderId="259" xfId="0" applyFont="1" applyFill="1" applyBorder="1" applyAlignment="1">
      <alignment horizontal="center" vertical="center"/>
    </xf>
    <xf numFmtId="0" fontId="251" fillId="2" borderId="23" xfId="0" applyFont="1" applyFill="1" applyBorder="1" applyAlignment="1">
      <alignment horizontal="center" vertical="center" wrapText="1"/>
    </xf>
    <xf numFmtId="0" fontId="251" fillId="2" borderId="0" xfId="0" applyFont="1" applyFill="1" applyBorder="1" applyAlignment="1">
      <alignment horizontal="center" vertical="center" wrapText="1"/>
    </xf>
    <xf numFmtId="0" fontId="251" fillId="2" borderId="102" xfId="0" applyFont="1" applyFill="1" applyBorder="1" applyAlignment="1">
      <alignment horizontal="center" vertical="center" wrapText="1"/>
    </xf>
    <xf numFmtId="0" fontId="52" fillId="0" borderId="303" xfId="0" applyFont="1" applyBorder="1" applyAlignment="1">
      <alignment horizontal="center" vertical="center"/>
    </xf>
    <xf numFmtId="0" fontId="51" fillId="0" borderId="150" xfId="0" applyFont="1" applyBorder="1" applyAlignment="1">
      <alignment horizontal="center" vertical="center"/>
    </xf>
    <xf numFmtId="0" fontId="64" fillId="0" borderId="151" xfId="0" applyFont="1" applyBorder="1" applyAlignment="1">
      <alignment horizontal="center" vertical="center"/>
    </xf>
    <xf numFmtId="0" fontId="64" fillId="0" borderId="152" xfId="0" applyFont="1" applyBorder="1" applyAlignment="1">
      <alignment horizontal="center" vertical="center"/>
    </xf>
    <xf numFmtId="0" fontId="51" fillId="0" borderId="151" xfId="0" applyFont="1" applyBorder="1" applyAlignment="1">
      <alignment horizontal="center" vertical="center"/>
    </xf>
    <xf numFmtId="0" fontId="51" fillId="0" borderId="152" xfId="0" applyFont="1" applyBorder="1" applyAlignment="1">
      <alignment horizontal="center" vertical="center"/>
    </xf>
    <xf numFmtId="0" fontId="421" fillId="0" borderId="0" xfId="0" applyFont="1" applyAlignment="1">
      <alignment horizontal="center" vertical="center"/>
    </xf>
    <xf numFmtId="0" fontId="34" fillId="0" borderId="0" xfId="0" applyFont="1" applyAlignment="1">
      <alignment horizontal="center" vertical="center"/>
    </xf>
    <xf numFmtId="0" fontId="34" fillId="0" borderId="23" xfId="0" applyFont="1" applyBorder="1" applyAlignment="1">
      <alignment horizontal="center" vertical="center"/>
    </xf>
    <xf numFmtId="0" fontId="34" fillId="0" borderId="0" xfId="0" applyFont="1" applyBorder="1" applyAlignment="1">
      <alignment horizontal="center" vertical="center"/>
    </xf>
    <xf numFmtId="0" fontId="162" fillId="2" borderId="150" xfId="0" applyFont="1" applyFill="1" applyBorder="1" applyAlignment="1">
      <alignment horizontal="center" vertical="center"/>
    </xf>
    <xf numFmtId="0" fontId="162" fillId="2" borderId="151" xfId="0" applyFont="1" applyFill="1" applyBorder="1" applyAlignment="1">
      <alignment horizontal="center" vertical="center"/>
    </xf>
    <xf numFmtId="0" fontId="162" fillId="2" borderId="140" xfId="0" applyFont="1" applyFill="1" applyBorder="1" applyAlignment="1">
      <alignment horizontal="center" vertical="center"/>
    </xf>
    <xf numFmtId="0" fontId="0" fillId="0" borderId="151" xfId="0" applyBorder="1" applyAlignment="1">
      <alignment horizontal="center" vertical="center"/>
    </xf>
    <xf numFmtId="0" fontId="0" fillId="0" borderId="152" xfId="0" applyBorder="1" applyAlignment="1">
      <alignment horizontal="center" vertical="center"/>
    </xf>
    <xf numFmtId="0" fontId="286" fillId="4" borderId="150" xfId="0" applyFont="1" applyFill="1" applyBorder="1" applyAlignment="1">
      <alignment horizontal="center" vertical="center" wrapText="1"/>
    </xf>
    <xf numFmtId="0" fontId="286" fillId="4" borderId="151" xfId="0" applyFont="1" applyFill="1" applyBorder="1" applyAlignment="1">
      <alignment horizontal="center" vertical="center" wrapText="1"/>
    </xf>
    <xf numFmtId="0" fontId="344" fillId="0" borderId="151" xfId="0" applyFont="1" applyBorder="1" applyAlignment="1">
      <alignment horizontal="center" vertical="center" wrapText="1"/>
    </xf>
    <xf numFmtId="0" fontId="344" fillId="0" borderId="152" xfId="0" applyFont="1" applyBorder="1" applyAlignment="1">
      <alignment horizontal="center" vertical="center" wrapText="1"/>
    </xf>
    <xf numFmtId="0" fontId="377" fillId="0" borderId="25" xfId="0" applyFont="1" applyBorder="1" applyAlignment="1">
      <alignment horizontal="center" vertical="center" wrapText="1"/>
    </xf>
    <xf numFmtId="0" fontId="377" fillId="0" borderId="26" xfId="0" applyFont="1" applyBorder="1" applyAlignment="1">
      <alignment horizontal="center" vertical="center" wrapText="1"/>
    </xf>
    <xf numFmtId="0" fontId="377" fillId="0" borderId="27" xfId="0" applyFont="1" applyBorder="1" applyAlignment="1">
      <alignment horizontal="center" vertical="center" wrapText="1"/>
    </xf>
    <xf numFmtId="0" fontId="162" fillId="2" borderId="152" xfId="0" applyFont="1" applyFill="1" applyBorder="1" applyAlignment="1">
      <alignment horizontal="center" vertical="center"/>
    </xf>
    <xf numFmtId="0" fontId="361" fillId="2" borderId="19" xfId="80" applyFont="1" applyFill="1" applyBorder="1" applyAlignment="1">
      <alignment horizontal="center" vertical="center"/>
    </xf>
    <xf numFmtId="0" fontId="360" fillId="2" borderId="19" xfId="80" applyFont="1" applyFill="1" applyBorder="1" applyAlignment="1">
      <alignment horizontal="center" vertical="center"/>
    </xf>
    <xf numFmtId="0" fontId="360" fillId="0" borderId="19" xfId="80" applyFont="1" applyBorder="1" applyAlignment="1">
      <alignment horizontal="center" vertical="center"/>
    </xf>
    <xf numFmtId="0" fontId="356" fillId="0" borderId="17" xfId="80" applyFont="1" applyBorder="1" applyAlignment="1">
      <alignment horizontal="center" vertical="center" wrapText="1"/>
    </xf>
    <xf numFmtId="0" fontId="9" fillId="0" borderId="21" xfId="80" applyFont="1" applyBorder="1" applyAlignment="1">
      <alignment horizontal="center" vertical="center"/>
    </xf>
    <xf numFmtId="0" fontId="14" fillId="0" borderId="0" xfId="80" applyFont="1" applyAlignment="1">
      <alignment horizontal="right" vertical="center"/>
    </xf>
    <xf numFmtId="0" fontId="13" fillId="0" borderId="0" xfId="80" applyAlignment="1">
      <alignment horizontal="center" vertical="center"/>
    </xf>
    <xf numFmtId="0" fontId="13" fillId="0" borderId="19" xfId="80" applyBorder="1" applyAlignment="1">
      <alignment horizontal="center"/>
    </xf>
    <xf numFmtId="0" fontId="78" fillId="0" borderId="29" xfId="0" applyFont="1" applyFill="1" applyBorder="1" applyAlignment="1">
      <alignment horizontal="center" vertical="center" wrapText="1"/>
    </xf>
  </cellXfs>
  <cellStyles count="81">
    <cellStyle name="20 % - Accent1" xfId="1" xr:uid="{00000000-0005-0000-0000-000000000000}"/>
    <cellStyle name="20 % - Accent2" xfId="2" xr:uid="{00000000-0005-0000-0000-000001000000}"/>
    <cellStyle name="20 % - Accent3" xfId="3" xr:uid="{00000000-0005-0000-0000-000002000000}"/>
    <cellStyle name="20 % - Accent4" xfId="4" xr:uid="{00000000-0005-0000-0000-000003000000}"/>
    <cellStyle name="20 % - Accent5" xfId="5" xr:uid="{00000000-0005-0000-0000-000004000000}"/>
    <cellStyle name="20 % - Accent6" xfId="6" xr:uid="{00000000-0005-0000-0000-000005000000}"/>
    <cellStyle name="20% - Accent1" xfId="7" xr:uid="{00000000-0005-0000-0000-000006000000}"/>
    <cellStyle name="20% - Accent2" xfId="8" xr:uid="{00000000-0005-0000-0000-000007000000}"/>
    <cellStyle name="20% - Accent3" xfId="9" xr:uid="{00000000-0005-0000-0000-000008000000}"/>
    <cellStyle name="20% - Accent4" xfId="10" xr:uid="{00000000-0005-0000-0000-000009000000}"/>
    <cellStyle name="20% - Accent5" xfId="11" xr:uid="{00000000-0005-0000-0000-00000A000000}"/>
    <cellStyle name="20% - Accent6" xfId="12" xr:uid="{00000000-0005-0000-0000-00000B000000}"/>
    <cellStyle name="40 % - Accent1" xfId="13" xr:uid="{00000000-0005-0000-0000-00000C000000}"/>
    <cellStyle name="40 % - Accent2" xfId="14" xr:uid="{00000000-0005-0000-0000-00000D000000}"/>
    <cellStyle name="40 % - Accent3" xfId="15" xr:uid="{00000000-0005-0000-0000-00000E000000}"/>
    <cellStyle name="40 % - Accent4" xfId="16" xr:uid="{00000000-0005-0000-0000-00000F000000}"/>
    <cellStyle name="40 % - Accent5" xfId="17" xr:uid="{00000000-0005-0000-0000-000010000000}"/>
    <cellStyle name="40 % - Accent6" xfId="18" xr:uid="{00000000-0005-0000-0000-000011000000}"/>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60 % - Accent1" xfId="25" xr:uid="{00000000-0005-0000-0000-000018000000}"/>
    <cellStyle name="60 % - Accent2" xfId="26" xr:uid="{00000000-0005-0000-0000-000019000000}"/>
    <cellStyle name="60 % - Accent3" xfId="27" xr:uid="{00000000-0005-0000-0000-00001A000000}"/>
    <cellStyle name="60 % - Accent4" xfId="28" xr:uid="{00000000-0005-0000-0000-00001B000000}"/>
    <cellStyle name="60 % - Accent5" xfId="29" xr:uid="{00000000-0005-0000-0000-00001C000000}"/>
    <cellStyle name="60 % - Accent6" xfId="30" xr:uid="{00000000-0005-0000-0000-00001D000000}"/>
    <cellStyle name="60% - Accent1" xfId="31" xr:uid="{00000000-0005-0000-0000-00001E000000}"/>
    <cellStyle name="60% - Accent2" xfId="32" xr:uid="{00000000-0005-0000-0000-00001F000000}"/>
    <cellStyle name="60% - Accent3" xfId="33" xr:uid="{00000000-0005-0000-0000-000020000000}"/>
    <cellStyle name="60% - Accent4" xfId="34" xr:uid="{00000000-0005-0000-0000-000021000000}"/>
    <cellStyle name="60% - Accent5" xfId="35" xr:uid="{00000000-0005-0000-0000-000022000000}"/>
    <cellStyle name="60% - Accent6" xfId="36" xr:uid="{00000000-0005-0000-0000-000023000000}"/>
    <cellStyle name="Accent1" xfId="37" xr:uid="{00000000-0005-0000-0000-000024000000}"/>
    <cellStyle name="Accent2" xfId="38" xr:uid="{00000000-0005-0000-0000-000025000000}"/>
    <cellStyle name="Accent3" xfId="39" xr:uid="{00000000-0005-0000-0000-000026000000}"/>
    <cellStyle name="Accent4" xfId="40" xr:uid="{00000000-0005-0000-0000-000027000000}"/>
    <cellStyle name="Accent5" xfId="41" xr:uid="{00000000-0005-0000-0000-000028000000}"/>
    <cellStyle name="Accent6" xfId="42" xr:uid="{00000000-0005-0000-0000-000029000000}"/>
    <cellStyle name="Avertissement" xfId="43" xr:uid="{00000000-0005-0000-0000-00002A000000}"/>
    <cellStyle name="Bad" xfId="44" xr:uid="{00000000-0005-0000-0000-00002B000000}"/>
    <cellStyle name="Calcul" xfId="45" xr:uid="{00000000-0005-0000-0000-00002C000000}"/>
    <cellStyle name="Calculation" xfId="46" xr:uid="{00000000-0005-0000-0000-00002D000000}"/>
    <cellStyle name="Cellule liée" xfId="47" xr:uid="{00000000-0005-0000-0000-00002E000000}"/>
    <cellStyle name="Check Cell" xfId="48" xr:uid="{00000000-0005-0000-0000-00002F000000}"/>
    <cellStyle name="Entrée" xfId="49" xr:uid="{00000000-0005-0000-0000-000030000000}"/>
    <cellStyle name="Excel Built-in Normal" xfId="50" xr:uid="{00000000-0005-0000-0000-000031000000}"/>
    <cellStyle name="Explanatory Text" xfId="51" xr:uid="{00000000-0005-0000-0000-000032000000}"/>
    <cellStyle name="Good" xfId="52" xr:uid="{00000000-0005-0000-0000-000033000000}"/>
    <cellStyle name="Heading 1" xfId="53" xr:uid="{00000000-0005-0000-0000-000034000000}"/>
    <cellStyle name="Heading 2" xfId="54" xr:uid="{00000000-0005-0000-0000-000035000000}"/>
    <cellStyle name="Heading 3" xfId="55" xr:uid="{00000000-0005-0000-0000-000036000000}"/>
    <cellStyle name="Heading 4" xfId="56" xr:uid="{00000000-0005-0000-0000-000037000000}"/>
    <cellStyle name="Input" xfId="57" xr:uid="{00000000-0005-0000-0000-000038000000}"/>
    <cellStyle name="Insatisfaisant" xfId="58" xr:uid="{00000000-0005-0000-0000-000039000000}"/>
    <cellStyle name="Lien hypertexte" xfId="59" builtinId="8"/>
    <cellStyle name="Linked Cell" xfId="60" xr:uid="{00000000-0005-0000-0000-00003B000000}"/>
    <cellStyle name="Monétaire" xfId="61" builtinId="4"/>
    <cellStyle name="Neutral" xfId="62" xr:uid="{00000000-0005-0000-0000-00003D000000}"/>
    <cellStyle name="Neutre" xfId="63" xr:uid="{00000000-0005-0000-0000-00003E000000}"/>
    <cellStyle name="Normal" xfId="0" builtinId="0"/>
    <cellStyle name="Normal 2" xfId="64" xr:uid="{00000000-0005-0000-0000-000040000000}"/>
    <cellStyle name="Normal 3" xfId="80" xr:uid="{00000000-0005-0000-0000-000041000000}"/>
    <cellStyle name="Note" xfId="65" xr:uid="{00000000-0005-0000-0000-000042000000}"/>
    <cellStyle name="Output" xfId="66" xr:uid="{00000000-0005-0000-0000-000043000000}"/>
    <cellStyle name="Pourcentage" xfId="67" builtinId="5"/>
    <cellStyle name="Satisfaisant" xfId="68" xr:uid="{00000000-0005-0000-0000-000045000000}"/>
    <cellStyle name="Sortie" xfId="69" xr:uid="{00000000-0005-0000-0000-000046000000}"/>
    <cellStyle name="Texte explicatif" xfId="70" xr:uid="{00000000-0005-0000-0000-000047000000}"/>
    <cellStyle name="Title" xfId="71" xr:uid="{00000000-0005-0000-0000-000048000000}"/>
    <cellStyle name="Titre" xfId="72" xr:uid="{00000000-0005-0000-0000-000049000000}"/>
    <cellStyle name="Titre 1" xfId="73" xr:uid="{00000000-0005-0000-0000-00004A000000}"/>
    <cellStyle name="Titre 2" xfId="74" xr:uid="{00000000-0005-0000-0000-00004B000000}"/>
    <cellStyle name="Titre 3" xfId="75" xr:uid="{00000000-0005-0000-0000-00004C000000}"/>
    <cellStyle name="Titre 4" xfId="76" xr:uid="{00000000-0005-0000-0000-00004D000000}"/>
    <cellStyle name="Total" xfId="77" xr:uid="{00000000-0005-0000-0000-00004E000000}"/>
    <cellStyle name="Vérification" xfId="78" xr:uid="{00000000-0005-0000-0000-00004F000000}"/>
    <cellStyle name="Warning Text" xfId="79" xr:uid="{00000000-0005-0000-0000-000050000000}"/>
  </cellStyles>
  <dxfs count="97">
    <dxf>
      <fill>
        <patternFill patternType="lightDown"/>
      </fill>
    </dxf>
    <dxf>
      <font>
        <condense val="0"/>
        <extend val="0"/>
        <color indexed="21"/>
      </font>
      <fill>
        <patternFill>
          <bgColor indexed="21"/>
        </patternFill>
      </fill>
    </dxf>
    <dxf>
      <fill>
        <patternFill patternType="lightDown"/>
      </fill>
    </dxf>
    <dxf>
      <font>
        <condense val="0"/>
        <extend val="0"/>
        <color indexed="53"/>
      </font>
      <fill>
        <patternFill>
          <bgColor indexed="53"/>
        </patternFill>
      </fill>
    </dxf>
    <dxf>
      <fill>
        <patternFill patternType="lightDown"/>
      </fill>
    </dxf>
    <dxf>
      <font>
        <condense val="0"/>
        <extend val="0"/>
        <color indexed="19"/>
      </font>
      <fill>
        <patternFill>
          <bgColor indexed="19"/>
        </patternFill>
      </fill>
    </dxf>
    <dxf>
      <fill>
        <patternFill patternType="lightDown"/>
      </fill>
    </dxf>
    <dxf>
      <font>
        <condense val="0"/>
        <extend val="0"/>
        <color indexed="48"/>
      </font>
      <fill>
        <patternFill>
          <bgColor indexed="48"/>
        </patternFill>
      </fill>
    </dxf>
    <dxf>
      <fill>
        <patternFill patternType="lightDown"/>
      </fill>
    </dxf>
    <dxf>
      <font>
        <condense val="0"/>
        <extend val="0"/>
        <color indexed="49"/>
      </font>
      <fill>
        <patternFill>
          <bgColor indexed="49"/>
        </patternFill>
      </fill>
    </dxf>
    <dxf>
      <fill>
        <patternFill patternType="lightDown"/>
      </fill>
    </dxf>
    <dxf>
      <font>
        <condense val="0"/>
        <extend val="0"/>
        <color indexed="50"/>
      </font>
      <fill>
        <patternFill>
          <bgColor indexed="50"/>
        </patternFill>
      </fill>
    </dxf>
    <dxf>
      <fill>
        <patternFill patternType="lightDown"/>
      </fill>
    </dxf>
    <dxf>
      <font>
        <condense val="0"/>
        <extend val="0"/>
        <color indexed="52"/>
      </font>
      <fill>
        <patternFill>
          <bgColor indexed="52"/>
        </patternFill>
      </fill>
    </dxf>
    <dxf>
      <fill>
        <patternFill patternType="lightDown"/>
      </fill>
    </dxf>
    <dxf>
      <font>
        <condense val="0"/>
        <extend val="0"/>
        <color indexed="10"/>
      </font>
      <fill>
        <patternFill>
          <bgColor indexed="10"/>
        </patternFill>
      </fill>
    </dxf>
    <dxf>
      <fill>
        <patternFill patternType="lightDown"/>
      </fill>
    </dxf>
    <dxf>
      <font>
        <condense val="0"/>
        <extend val="0"/>
        <color indexed="61"/>
      </font>
      <fill>
        <patternFill>
          <bgColor indexed="61"/>
        </patternFill>
      </fill>
    </dxf>
    <dxf>
      <fill>
        <patternFill patternType="lightDown"/>
      </fill>
    </dxf>
    <dxf>
      <font>
        <condense val="0"/>
        <extend val="0"/>
        <color indexed="15"/>
      </font>
      <fill>
        <patternFill>
          <bgColor indexed="15"/>
        </patternFill>
      </fill>
    </dxf>
    <dxf>
      <fill>
        <patternFill patternType="lightDown"/>
      </fill>
    </dxf>
    <dxf>
      <font>
        <condense val="0"/>
        <extend val="0"/>
        <color indexed="11"/>
      </font>
      <fill>
        <patternFill>
          <bgColor indexed="11"/>
        </patternFill>
      </fill>
    </dxf>
    <dxf>
      <fill>
        <patternFill patternType="lightDown"/>
      </fill>
    </dxf>
    <dxf>
      <font>
        <condense val="0"/>
        <extend val="0"/>
        <color indexed="13"/>
      </font>
      <fill>
        <patternFill>
          <bgColor indexed="13"/>
        </patternFill>
      </fill>
    </dxf>
    <dxf>
      <fill>
        <patternFill patternType="lightDown"/>
      </fill>
    </dxf>
    <dxf>
      <font>
        <condense val="0"/>
        <extend val="0"/>
        <color indexed="51"/>
      </font>
      <fill>
        <patternFill>
          <bgColor indexed="51"/>
        </patternFill>
      </fill>
    </dxf>
    <dxf>
      <font>
        <condense val="0"/>
        <extend val="0"/>
        <color auto="1"/>
      </font>
      <fill>
        <patternFill patternType="lightDown"/>
      </fill>
    </dxf>
    <dxf>
      <font>
        <condense val="0"/>
        <extend val="0"/>
        <color indexed="14"/>
      </font>
      <fill>
        <patternFill>
          <bgColor indexed="14"/>
        </patternFill>
      </fill>
    </dxf>
    <dxf>
      <font>
        <condense val="0"/>
        <extend val="0"/>
        <color indexed="49"/>
      </font>
      <fill>
        <patternFill>
          <bgColor indexed="49"/>
        </patternFill>
      </fill>
    </dxf>
    <dxf>
      <font>
        <condense val="0"/>
        <extend val="0"/>
        <color indexed="50"/>
      </font>
      <fill>
        <patternFill>
          <bgColor indexed="50"/>
        </patternFill>
      </fill>
    </dxf>
    <dxf>
      <font>
        <condense val="0"/>
        <extend val="0"/>
        <color indexed="52"/>
      </font>
      <fill>
        <patternFill>
          <bgColor indexed="52"/>
        </patternFill>
      </fill>
    </dxf>
    <dxf>
      <font>
        <condense val="0"/>
        <extend val="0"/>
        <color indexed="10"/>
      </font>
      <fill>
        <patternFill>
          <bgColor indexed="10"/>
        </patternFill>
      </fill>
    </dxf>
    <dxf>
      <font>
        <condense val="0"/>
        <extend val="0"/>
        <color indexed="61"/>
      </font>
      <fill>
        <patternFill>
          <bgColor indexed="61"/>
        </patternFill>
      </fill>
    </dxf>
    <dxf>
      <font>
        <condense val="0"/>
        <extend val="0"/>
        <color indexed="15"/>
      </font>
      <fill>
        <patternFill>
          <bgColor indexed="15"/>
        </patternFill>
      </fill>
    </dxf>
    <dxf>
      <font>
        <condense val="0"/>
        <extend val="0"/>
        <color indexed="11"/>
      </font>
      <fill>
        <patternFill>
          <bgColor indexed="11"/>
        </patternFill>
      </fill>
    </dxf>
    <dxf>
      <font>
        <condense val="0"/>
        <extend val="0"/>
        <color indexed="13"/>
      </font>
      <fill>
        <patternFill>
          <bgColor indexed="13"/>
        </patternFill>
      </fill>
    </dxf>
    <dxf>
      <font>
        <condense val="0"/>
        <extend val="0"/>
        <color indexed="51"/>
      </font>
      <fill>
        <patternFill>
          <bgColor indexed="51"/>
        </patternFill>
      </fill>
    </dxf>
    <dxf>
      <font>
        <condense val="0"/>
        <extend val="0"/>
        <color indexed="14"/>
      </font>
      <fill>
        <patternFill>
          <bgColor indexed="14"/>
        </patternFill>
      </fill>
    </dxf>
    <dxf>
      <font>
        <b/>
        <i val="0"/>
        <condense val="0"/>
        <extend val="0"/>
        <color indexed="10"/>
      </font>
    </dxf>
    <dxf>
      <font>
        <condense val="0"/>
        <extend val="0"/>
        <color indexed="9"/>
      </font>
      <fill>
        <patternFill>
          <bgColor indexed="12"/>
        </patternFill>
      </fill>
    </dxf>
    <dxf>
      <font>
        <condense val="0"/>
        <extend val="0"/>
        <color indexed="9"/>
      </font>
      <fill>
        <patternFill>
          <bgColor indexed="12"/>
        </patternFill>
      </fill>
    </dxf>
    <dxf>
      <font>
        <condense val="0"/>
        <extend val="0"/>
        <color indexed="9"/>
      </font>
      <fill>
        <patternFill>
          <bgColor indexed="10"/>
        </patternFill>
      </fill>
    </dxf>
    <dxf>
      <font>
        <condense val="0"/>
        <extend val="0"/>
        <color indexed="22"/>
      </font>
      <fill>
        <patternFill patternType="solid">
          <bgColor indexed="22"/>
        </patternFill>
      </fill>
    </dxf>
    <dxf>
      <font>
        <condense val="0"/>
        <extend val="0"/>
        <color indexed="9"/>
      </font>
      <fill>
        <patternFill>
          <bgColor indexed="12"/>
        </patternFill>
      </fill>
    </dxf>
    <dxf>
      <font>
        <condense val="0"/>
        <extend val="0"/>
        <color indexed="9"/>
      </font>
      <fill>
        <patternFill>
          <bgColor indexed="12"/>
        </patternFill>
      </fill>
    </dxf>
    <dxf>
      <font>
        <condense val="0"/>
        <extend val="0"/>
        <color indexed="9"/>
      </font>
      <fill>
        <patternFill>
          <bgColor indexed="12"/>
        </patternFill>
      </fill>
    </dxf>
    <dxf>
      <font>
        <condense val="0"/>
        <extend val="0"/>
        <color indexed="9"/>
      </font>
    </dxf>
    <dxf>
      <font>
        <b/>
        <i val="0"/>
        <condense val="0"/>
        <extend val="0"/>
        <color indexed="9"/>
      </font>
      <fill>
        <patternFill>
          <bgColor indexed="10"/>
        </patternFill>
      </fill>
    </dxf>
    <dxf>
      <font>
        <condense val="0"/>
        <extend val="0"/>
        <color indexed="9"/>
      </font>
      <fill>
        <patternFill>
          <bgColor indexed="12"/>
        </patternFill>
      </fill>
    </dxf>
    <dxf>
      <font>
        <condense val="0"/>
        <extend val="0"/>
        <color indexed="9"/>
      </font>
    </dxf>
    <dxf>
      <font>
        <condense val="0"/>
        <extend val="0"/>
        <color indexed="9"/>
      </font>
      <fill>
        <patternFill>
          <bgColor indexed="10"/>
        </patternFill>
      </fill>
    </dxf>
    <dxf>
      <font>
        <condense val="0"/>
        <extend val="0"/>
        <color indexed="9"/>
      </font>
      <fill>
        <patternFill>
          <bgColor indexed="12"/>
        </patternFill>
      </fill>
    </dxf>
    <dxf>
      <font>
        <b/>
        <i val="0"/>
        <color indexed="8"/>
      </font>
      <fill>
        <patternFill>
          <bgColor indexed="24"/>
        </patternFill>
      </fill>
      <border>
        <left style="thin">
          <color indexed="64"/>
        </left>
        <right style="thin">
          <color indexed="64"/>
        </right>
        <bottom style="thin">
          <color indexed="64"/>
        </bottom>
      </border>
    </dxf>
    <dxf>
      <font>
        <color indexed="22"/>
      </font>
      <fill>
        <patternFill>
          <bgColor indexed="22"/>
        </patternFill>
      </fill>
      <border>
        <left/>
        <right/>
        <top/>
        <bottom/>
      </border>
    </dxf>
    <dxf>
      <font>
        <condense val="0"/>
        <extend val="0"/>
        <color indexed="9"/>
      </font>
      <fill>
        <patternFill>
          <bgColor indexed="10"/>
        </patternFill>
      </fill>
      <border>
        <right style="thin">
          <color indexed="64"/>
        </right>
        <top style="thin">
          <color indexed="64"/>
        </top>
      </border>
    </dxf>
    <dxf>
      <font>
        <condense val="0"/>
        <extend val="0"/>
        <color indexed="9"/>
      </font>
      <fill>
        <patternFill>
          <bgColor indexed="12"/>
        </patternFill>
      </fill>
    </dxf>
    <dxf>
      <fill>
        <patternFill>
          <bgColor indexed="40"/>
        </patternFill>
      </fill>
    </dxf>
    <dxf>
      <font>
        <condense val="0"/>
        <extend val="0"/>
        <color indexed="9"/>
      </font>
      <fill>
        <patternFill>
          <bgColor indexed="12"/>
        </patternFill>
      </fill>
    </dxf>
    <dxf>
      <font>
        <condense val="0"/>
        <extend val="0"/>
        <color indexed="9"/>
      </font>
      <fill>
        <patternFill>
          <bgColor indexed="12"/>
        </patternFill>
      </fill>
    </dxf>
    <dxf>
      <font>
        <condense val="0"/>
        <extend val="0"/>
        <color indexed="9"/>
      </font>
    </dxf>
    <dxf>
      <fill>
        <patternFill>
          <bgColor indexed="40"/>
        </patternFill>
      </fill>
    </dxf>
    <dxf>
      <font>
        <condense val="0"/>
        <extend val="0"/>
        <color indexed="9"/>
      </font>
      <fill>
        <patternFill>
          <bgColor indexed="10"/>
        </patternFill>
      </fill>
    </dxf>
    <dxf>
      <font>
        <condense val="0"/>
        <extend val="0"/>
        <color indexed="9"/>
      </font>
      <fill>
        <patternFill>
          <bgColor indexed="10"/>
        </patternFill>
      </fill>
    </dxf>
    <dxf>
      <font>
        <b/>
        <i val="0"/>
        <color indexed="9"/>
      </font>
      <fill>
        <patternFill>
          <bgColor indexed="12"/>
        </patternFill>
      </fill>
    </dxf>
    <dxf>
      <font>
        <condense val="0"/>
        <extend val="0"/>
        <color indexed="22"/>
      </font>
      <fill>
        <patternFill patternType="mediumGray">
          <fgColor indexed="22"/>
          <bgColor indexed="22"/>
        </patternFill>
      </fill>
    </dxf>
    <dxf>
      <font>
        <condense val="0"/>
        <extend val="0"/>
        <color indexed="10"/>
      </font>
      <fill>
        <patternFill>
          <bgColor indexed="10"/>
        </patternFill>
      </fill>
    </dxf>
    <dxf>
      <font>
        <condense val="0"/>
        <extend val="0"/>
        <color indexed="9"/>
      </font>
      <fill>
        <patternFill>
          <bgColor indexed="12"/>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22"/>
      </font>
      <fill>
        <patternFill>
          <bgColor indexed="22"/>
        </patternFill>
      </fill>
    </dxf>
    <dxf>
      <font>
        <condense val="0"/>
        <extend val="0"/>
        <color indexed="9"/>
      </font>
      <fill>
        <patternFill>
          <bgColor indexed="12"/>
        </patternFill>
      </fill>
    </dxf>
    <dxf>
      <font>
        <b/>
        <i val="0"/>
        <color indexed="9"/>
      </font>
      <fill>
        <patternFill>
          <bgColor indexed="12"/>
        </patternFill>
      </fill>
    </dxf>
    <dxf>
      <font>
        <condense val="0"/>
        <extend val="0"/>
        <color indexed="22"/>
      </font>
      <fill>
        <patternFill>
          <bgColor indexed="22"/>
        </patternFill>
      </fill>
    </dxf>
    <dxf>
      <font>
        <condense val="0"/>
        <extend val="0"/>
        <color indexed="9"/>
      </font>
      <fill>
        <patternFill>
          <bgColor indexed="10"/>
        </patternFill>
      </fill>
    </dxf>
    <dxf>
      <font>
        <condense val="0"/>
        <extend val="0"/>
        <color indexed="9"/>
      </font>
      <fill>
        <patternFill>
          <bgColor indexed="12"/>
        </patternFill>
      </fill>
    </dxf>
    <dxf>
      <font>
        <condense val="0"/>
        <extend val="0"/>
        <color indexed="8"/>
      </font>
    </dxf>
    <dxf>
      <font>
        <condense val="0"/>
        <extend val="0"/>
        <color indexed="55"/>
      </font>
    </dxf>
    <dxf>
      <font>
        <condense val="0"/>
        <extend val="0"/>
        <color indexed="9"/>
      </font>
      <fill>
        <patternFill>
          <bgColor indexed="25"/>
        </patternFill>
      </fill>
    </dxf>
    <dxf>
      <font>
        <condense val="0"/>
        <extend val="0"/>
        <color indexed="55"/>
      </font>
      <fill>
        <patternFill>
          <bgColor indexed="55"/>
        </patternFill>
      </fill>
    </dxf>
    <dxf>
      <font>
        <b/>
        <i val="0"/>
        <condense val="0"/>
        <extend val="0"/>
        <color indexed="9"/>
      </font>
      <fill>
        <patternFill>
          <bgColor indexed="10"/>
        </patternFill>
      </fill>
    </dxf>
    <dxf>
      <font>
        <color indexed="9"/>
      </font>
      <fill>
        <patternFill>
          <bgColor indexed="10"/>
        </patternFill>
      </fill>
      <border>
        <left/>
        <right/>
        <top/>
        <bottom/>
      </border>
    </dxf>
    <dxf>
      <font>
        <color indexed="22"/>
      </font>
      <fill>
        <patternFill>
          <bgColor indexed="22"/>
        </patternFill>
      </fill>
      <border>
        <left style="thin">
          <color indexed="64"/>
        </left>
        <right style="thin">
          <color indexed="64"/>
        </right>
        <top style="thin">
          <color indexed="10"/>
        </top>
      </border>
    </dxf>
    <dxf>
      <font>
        <condense val="0"/>
        <extend val="0"/>
        <color indexed="9"/>
      </font>
      <fill>
        <patternFill>
          <bgColor indexed="12"/>
        </patternFill>
      </fill>
    </dxf>
    <dxf>
      <font>
        <b/>
        <i val="0"/>
        <condense val="0"/>
        <extend val="0"/>
        <color indexed="9"/>
      </font>
      <fill>
        <patternFill>
          <bgColor indexed="10"/>
        </patternFill>
      </fill>
    </dxf>
    <dxf>
      <font>
        <condense val="0"/>
        <extend val="0"/>
        <color indexed="9"/>
      </font>
      <fill>
        <patternFill>
          <bgColor indexed="10"/>
        </patternFill>
      </fill>
    </dxf>
    <dxf>
      <font>
        <condense val="0"/>
        <extend val="0"/>
        <color indexed="9"/>
      </font>
      <fill>
        <patternFill>
          <bgColor indexed="12"/>
        </patternFill>
      </fill>
    </dxf>
    <dxf>
      <fill>
        <patternFill>
          <bgColor indexed="48"/>
        </patternFill>
      </fill>
    </dxf>
    <dxf>
      <font>
        <condense val="0"/>
        <extend val="0"/>
        <color indexed="9"/>
      </font>
    </dxf>
    <dxf>
      <border>
        <left/>
        <right/>
        <top/>
        <bottom/>
      </border>
    </dxf>
    <dxf>
      <font>
        <condense val="0"/>
        <extend val="0"/>
        <color indexed="9"/>
      </font>
    </dxf>
    <dxf>
      <font>
        <condense val="0"/>
        <extend val="0"/>
        <color indexed="16"/>
      </font>
    </dxf>
    <dxf>
      <font>
        <condense val="0"/>
        <extend val="0"/>
        <color indexed="54"/>
      </font>
      <border>
        <top/>
        <bottom/>
      </border>
    </dxf>
    <dxf>
      <font>
        <condense val="0"/>
        <extend val="0"/>
        <color indexed="9"/>
      </font>
      <border>
        <left/>
        <right/>
        <top/>
        <bottom/>
      </border>
    </dxf>
    <dxf>
      <font>
        <condense val="0"/>
        <extend val="0"/>
        <color indexed="9"/>
      </font>
    </dxf>
    <dxf>
      <font>
        <condense val="0"/>
        <extend val="0"/>
        <color indexed="9"/>
      </font>
    </dxf>
    <dxf>
      <font>
        <condense val="0"/>
        <extend val="0"/>
        <color indexed="9"/>
      </font>
      <fill>
        <patternFill>
          <bgColor indexed="10"/>
        </patternFill>
      </fill>
    </dxf>
    <dxf>
      <font>
        <b/>
        <i val="0"/>
        <condense val="0"/>
        <extend val="0"/>
        <color indexed="9"/>
      </font>
      <fill>
        <patternFill>
          <bgColor indexed="54"/>
        </patternFill>
      </fill>
    </dxf>
  </dxfs>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view3D>
      <c:rotX val="30"/>
      <c:rotY val="0"/>
      <c:rAngAx val="0"/>
      <c:perspective val="0"/>
    </c:view3D>
    <c:floor>
      <c:thickness val="0"/>
    </c:floor>
    <c:sideWall>
      <c:thickness val="0"/>
    </c:sideWall>
    <c:backWall>
      <c:thickness val="0"/>
    </c:backWall>
    <c:plotArea>
      <c:layout/>
      <c:pie3DChart>
        <c:varyColors val="1"/>
        <c:ser>
          <c:idx val="0"/>
          <c:order val="0"/>
          <c:spPr>
            <a:gradFill rotWithShape="0">
              <a:gsLst>
                <a:gs pos="0">
                  <a:srgbClr val="3F80CD"/>
                </a:gs>
                <a:gs pos="100000">
                  <a:srgbClr val="9BC1FF"/>
                </a:gs>
              </a:gsLst>
              <a:lin ang="16200000"/>
            </a:gradFill>
            <a:ln w="25400">
              <a:noFill/>
            </a:ln>
          </c:spPr>
          <c:dPt>
            <c:idx val="0"/>
            <c:bubble3D val="0"/>
            <c:spPr>
              <a:solidFill>
                <a:srgbClr val="3366FF"/>
              </a:solidFill>
              <a:ln w="25400">
                <a:noFill/>
              </a:ln>
            </c:spPr>
            <c:extLst>
              <c:ext xmlns:c16="http://schemas.microsoft.com/office/drawing/2014/chart" uri="{C3380CC4-5D6E-409C-BE32-E72D297353CC}">
                <c16:uniqueId val="{00000000-B398-D048-8251-53FED98D7B81}"/>
              </c:ext>
            </c:extLst>
          </c:dPt>
          <c:dPt>
            <c:idx val="1"/>
            <c:bubble3D val="0"/>
            <c:spPr>
              <a:solidFill>
                <a:srgbClr val="95B3D7"/>
              </a:solidFill>
              <a:ln w="25400">
                <a:noFill/>
              </a:ln>
            </c:spPr>
            <c:extLst>
              <c:ext xmlns:c16="http://schemas.microsoft.com/office/drawing/2014/chart" uri="{C3380CC4-5D6E-409C-BE32-E72D297353CC}">
                <c16:uniqueId val="{00000001-B398-D048-8251-53FED98D7B81}"/>
              </c:ext>
            </c:extLst>
          </c:dPt>
          <c:dPt>
            <c:idx val="2"/>
            <c:bubble3D val="0"/>
            <c:spPr>
              <a:solidFill>
                <a:srgbClr val="558ED5"/>
              </a:solidFill>
              <a:ln w="25400">
                <a:noFill/>
              </a:ln>
            </c:spPr>
            <c:extLst>
              <c:ext xmlns:c16="http://schemas.microsoft.com/office/drawing/2014/chart" uri="{C3380CC4-5D6E-409C-BE32-E72D297353CC}">
                <c16:uniqueId val="{00000002-B398-D048-8251-53FED98D7B81}"/>
              </c:ext>
            </c:extLst>
          </c:dPt>
          <c:dPt>
            <c:idx val="3"/>
            <c:bubble3D val="0"/>
            <c:spPr>
              <a:solidFill>
                <a:srgbClr val="FF6600"/>
              </a:solidFill>
              <a:ln w="25400">
                <a:noFill/>
              </a:ln>
            </c:spPr>
            <c:extLst>
              <c:ext xmlns:c16="http://schemas.microsoft.com/office/drawing/2014/chart" uri="{C3380CC4-5D6E-409C-BE32-E72D297353CC}">
                <c16:uniqueId val="{00000003-B398-D048-8251-53FED98D7B81}"/>
              </c:ext>
            </c:extLst>
          </c:dPt>
          <c:dPt>
            <c:idx val="4"/>
            <c:bubble3D val="0"/>
            <c:spPr>
              <a:solidFill>
                <a:srgbClr val="FF0000"/>
              </a:solidFill>
              <a:ln w="25400">
                <a:noFill/>
              </a:ln>
            </c:spPr>
            <c:extLst>
              <c:ext xmlns:c16="http://schemas.microsoft.com/office/drawing/2014/chart" uri="{C3380CC4-5D6E-409C-BE32-E72D297353CC}">
                <c16:uniqueId val="{00000004-B398-D048-8251-53FED98D7B81}"/>
              </c:ext>
            </c:extLst>
          </c:dPt>
          <c:dLbls>
            <c:dLbl>
              <c:idx val="0"/>
              <c:spPr>
                <a:noFill/>
                <a:ln w="25400">
                  <a:noFill/>
                </a:ln>
              </c:spPr>
              <c:txPr>
                <a:bodyPr/>
                <a:lstStyle/>
                <a:p>
                  <a:pPr>
                    <a:defRPr sz="1000" b="0" i="0" u="none" strike="noStrike" baseline="0">
                      <a:solidFill>
                        <a:srgbClr val="000000"/>
                      </a:solidFill>
                      <a:latin typeface="Calibri"/>
                      <a:ea typeface="Calibri"/>
                      <a:cs typeface="Calibri"/>
                    </a:defRPr>
                  </a:pPr>
                  <a:endParaRPr lang="fr-FR"/>
                </a:p>
              </c:txPr>
              <c:dLblPos val="ctr"/>
              <c:showLegendKey val="1"/>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398-D048-8251-53FED98D7B81}"/>
                </c:ext>
              </c:extLst>
            </c:dLbl>
            <c:dLbl>
              <c:idx val="1"/>
              <c:spPr>
                <a:noFill/>
                <a:ln w="25400">
                  <a:noFill/>
                </a:ln>
              </c:spPr>
              <c:txPr>
                <a:bodyPr/>
                <a:lstStyle/>
                <a:p>
                  <a:pPr>
                    <a:defRPr sz="1000" b="0" i="0" u="none" strike="noStrike" baseline="0">
                      <a:solidFill>
                        <a:srgbClr val="000000"/>
                      </a:solidFill>
                      <a:latin typeface="Calibri"/>
                      <a:ea typeface="Calibri"/>
                      <a:cs typeface="Calibri"/>
                    </a:defRPr>
                  </a:pPr>
                  <a:endParaRPr lang="fr-FR"/>
                </a:p>
              </c:txPr>
              <c:dLblPos val="ctr"/>
              <c:showLegendKey val="1"/>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398-D048-8251-53FED98D7B81}"/>
                </c:ext>
              </c:extLst>
            </c:dLbl>
            <c:dLbl>
              <c:idx val="2"/>
              <c:spPr>
                <a:noFill/>
                <a:ln w="25400">
                  <a:noFill/>
                </a:ln>
              </c:spPr>
              <c:txPr>
                <a:bodyPr/>
                <a:lstStyle/>
                <a:p>
                  <a:pPr>
                    <a:defRPr sz="1000" b="0" i="0" u="none" strike="noStrike" baseline="0">
                      <a:solidFill>
                        <a:srgbClr val="000000"/>
                      </a:solidFill>
                      <a:latin typeface="Calibri"/>
                      <a:ea typeface="Calibri"/>
                      <a:cs typeface="Calibri"/>
                    </a:defRPr>
                  </a:pPr>
                  <a:endParaRPr lang="fr-FR"/>
                </a:p>
              </c:txPr>
              <c:dLblPos val="ctr"/>
              <c:showLegendKey val="1"/>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398-D048-8251-53FED98D7B81}"/>
                </c:ext>
              </c:extLst>
            </c:dLbl>
            <c:dLbl>
              <c:idx val="3"/>
              <c:spPr>
                <a:noFill/>
                <a:ln w="25400">
                  <a:noFill/>
                </a:ln>
              </c:spPr>
              <c:txPr>
                <a:bodyPr/>
                <a:lstStyle/>
                <a:p>
                  <a:pPr>
                    <a:defRPr sz="1000" b="0" i="0" u="none" strike="noStrike" baseline="0">
                      <a:solidFill>
                        <a:srgbClr val="000000"/>
                      </a:solidFill>
                      <a:latin typeface="Calibri"/>
                      <a:ea typeface="Calibri"/>
                      <a:cs typeface="Calibri"/>
                    </a:defRPr>
                  </a:pPr>
                  <a:endParaRPr lang="fr-FR"/>
                </a:p>
              </c:txPr>
              <c:dLblPos val="ctr"/>
              <c:showLegendKey val="1"/>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398-D048-8251-53FED98D7B81}"/>
                </c:ext>
              </c:extLst>
            </c:dLbl>
            <c:dLbl>
              <c:idx val="4"/>
              <c:spPr>
                <a:noFill/>
                <a:ln w="25400">
                  <a:noFill/>
                </a:ln>
              </c:spPr>
              <c:txPr>
                <a:bodyPr/>
                <a:lstStyle/>
                <a:p>
                  <a:pPr>
                    <a:defRPr sz="1000" b="0" i="0" u="none" strike="noStrike" baseline="0">
                      <a:solidFill>
                        <a:srgbClr val="000000"/>
                      </a:solidFill>
                      <a:latin typeface="Calibri"/>
                      <a:ea typeface="Calibri"/>
                      <a:cs typeface="Calibri"/>
                    </a:defRPr>
                  </a:pPr>
                  <a:endParaRPr lang="fr-FR"/>
                </a:p>
              </c:txPr>
              <c:dLblPos val="ctr"/>
              <c:showLegendKey val="1"/>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B398-D048-8251-53FED98D7B81}"/>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extLst>
          </c:dLbls>
          <c:cat>
            <c:strRef>
              <c:f>'Graphique Devis'!$A$1:$A$5</c:f>
              <c:strCache>
                <c:ptCount val="5"/>
                <c:pt idx="0">
                  <c:v>PRISES DE VUE &amp; DÉVELOPPEMENT NUMÉRIQUE </c:v>
                </c:pt>
                <c:pt idx="1">
                  <c:v>RETOUCHE &amp; MONTAGE (Travail de modification des fichiers)</c:v>
                </c:pt>
                <c:pt idx="2">
                  <c:v>RÉMUNERATION FORFAITAIRE DES DROITS D'UTILISATION</c:v>
                </c:pt>
                <c:pt idx="3">
                  <c:v>RÉMUNERATION DE L'ÉQUIPE</c:v>
                </c:pt>
                <c:pt idx="4">
                  <c:v>FRAIS DE DÉPLACEMENT (Sur forfaits ou sur justificatifs) réglables au comptant dans les deux cas</c:v>
                </c:pt>
              </c:strCache>
            </c:strRef>
          </c:cat>
          <c:val>
            <c:numRef>
              <c:f>'Graphique Devis'!$B$1:$B$5</c:f>
              <c:numCache>
                <c:formatCode>#,##0.00"€";[Red]#,##0.00"€"</c:formatCode>
                <c:ptCount val="5"/>
                <c:pt idx="0">
                  <c:v>0</c:v>
                </c:pt>
                <c:pt idx="1">
                  <c:v>0</c:v>
                </c:pt>
                <c:pt idx="2">
                  <c:v>0</c:v>
                </c:pt>
                <c:pt idx="3">
                  <c:v>0</c:v>
                </c:pt>
                <c:pt idx="4">
                  <c:v>24.119999999999997</c:v>
                </c:pt>
              </c:numCache>
            </c:numRef>
          </c:val>
          <c:extLst>
            <c:ext xmlns:c16="http://schemas.microsoft.com/office/drawing/2014/chart" uri="{C3380CC4-5D6E-409C-BE32-E72D297353CC}">
              <c16:uniqueId val="{00000005-B398-D048-8251-53FED98D7B81}"/>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0.68923489652289005"/>
          <c:y val="0.21094629947033999"/>
          <c:w val="0.28127064316075501"/>
          <c:h val="0.58560730440609798"/>
        </c:manualLayout>
      </c:layout>
      <c:overlay val="0"/>
      <c:spPr>
        <a:noFill/>
        <a:ln w="25400">
          <a:noFill/>
        </a:ln>
      </c:spPr>
      <c:txPr>
        <a:bodyPr/>
        <a:lstStyle/>
        <a:p>
          <a:pPr>
            <a:defRPr sz="755" b="0" i="0" u="none" strike="noStrike" baseline="0">
              <a:solidFill>
                <a:srgbClr val="000000"/>
              </a:solidFill>
              <a:latin typeface="Arial"/>
              <a:ea typeface="Arial"/>
              <a:cs typeface="Arial"/>
            </a:defRPr>
          </a:pPr>
          <a:endParaRPr lang="fr-FR"/>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6.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167218</xdr:colOff>
      <xdr:row>8</xdr:row>
      <xdr:rowOff>99481</xdr:rowOff>
    </xdr:from>
    <xdr:to>
      <xdr:col>9</xdr:col>
      <xdr:colOff>2209800</xdr:colOff>
      <xdr:row>73</xdr:row>
      <xdr:rowOff>88900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167218" y="1826681"/>
          <a:ext cx="9014882" cy="13794319"/>
        </a:xfrm>
        <a:prstGeom prst="rect">
          <a:avLst/>
        </a:prstGeom>
        <a:solidFill>
          <a:schemeClr val="lt1"/>
        </a:solidFill>
        <a:ln w="9525" cmpd="sng">
          <a:solidFill>
            <a:schemeClr val="tx1"/>
          </a:solidFill>
        </a:ln>
        <a:effectLst>
          <a:innerShdw blurRad="63500" dist="50800" dir="13500000">
            <a:srgbClr val="000000">
              <a:alpha val="50000"/>
            </a:srgbClr>
          </a:innerShdw>
        </a:effectLst>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fr-FR" sz="1400" b="1" i="0" strike="noStrike">
              <a:solidFill>
                <a:srgbClr val="000000"/>
              </a:solidFill>
              <a:latin typeface="Calibri"/>
              <a:ea typeface="Calibri"/>
              <a:cs typeface="Calibri"/>
            </a:rPr>
            <a:t>A LIRE ATTENTIVEMENT AVANT D'UTILISER CE CALCULATEUR</a:t>
          </a:r>
        </a:p>
        <a:p>
          <a:pPr algn="l" rtl="0">
            <a:defRPr sz="1000"/>
          </a:pPr>
          <a:endParaRPr lang="fr-FR" sz="1100" b="1" i="0" strike="noStrike">
            <a:solidFill>
              <a:srgbClr val="000000"/>
            </a:solidFill>
            <a:latin typeface="Calibri"/>
            <a:ea typeface="Calibri"/>
            <a:cs typeface="Calibri"/>
          </a:endParaRPr>
        </a:p>
        <a:p>
          <a:pPr algn="l" rtl="0">
            <a:defRPr sz="1000"/>
          </a:pPr>
          <a:r>
            <a:rPr lang="fr-FR" sz="1100" b="1" i="0" u="sng" strike="noStrike">
              <a:solidFill>
                <a:srgbClr val="000000"/>
              </a:solidFill>
              <a:latin typeface="Arial"/>
              <a:ea typeface="Arial"/>
              <a:cs typeface="Arial"/>
            </a:rPr>
            <a:t>N'inscrire aucun chiffre dans le devis.</a:t>
          </a:r>
        </a:p>
        <a:p>
          <a:pPr algn="l" rtl="0">
            <a:defRPr sz="1000"/>
          </a:pPr>
          <a:r>
            <a:rPr lang="fr-FR" sz="1100" b="0" i="0" strike="noStrike">
              <a:solidFill>
                <a:srgbClr val="000000"/>
              </a:solidFill>
              <a:latin typeface="Arial"/>
              <a:ea typeface="Arial"/>
              <a:cs typeface="Arial"/>
            </a:rPr>
            <a:t>Seuls les numéros de facture et devis doivent être remplis sur l'onglet "devis-fact" et correspondre aux numéros que vous utilisez déjà.</a:t>
          </a:r>
        </a:p>
        <a:p>
          <a:pPr algn="l" rtl="0">
            <a:defRPr sz="1000"/>
          </a:pPr>
          <a:r>
            <a:rPr lang="fr-FR" sz="1100" b="0" i="0" strike="noStrike">
              <a:solidFill>
                <a:srgbClr val="000000"/>
              </a:solidFill>
              <a:latin typeface="Arial"/>
              <a:ea typeface="Arial"/>
              <a:cs typeface="Arial"/>
            </a:rPr>
            <a:t>Les cases se remplissent automatiquement sur le devis à partir des feuilles de calculs qui sont modifiables.</a:t>
          </a:r>
        </a:p>
        <a:p>
          <a:pPr algn="l" rtl="0">
            <a:defRPr sz="1000"/>
          </a:pPr>
          <a:r>
            <a:rPr lang="fr-FR" sz="1100" b="0" i="0" strike="noStrike">
              <a:solidFill>
                <a:srgbClr val="000000"/>
              </a:solidFill>
              <a:latin typeface="Arial"/>
              <a:ea typeface="Arial"/>
              <a:cs typeface="Arial"/>
            </a:rPr>
            <a:t>Lire les indications en marge des cellules qui sont des aides à la compréhension des automatismes.</a:t>
          </a:r>
        </a:p>
        <a:p>
          <a:pPr algn="l" rtl="0">
            <a:defRPr sz="1000"/>
          </a:pPr>
          <a:endParaRPr lang="fr-FR" sz="1100" b="0" i="0" strike="noStrike">
            <a:solidFill>
              <a:srgbClr val="000000"/>
            </a:solidFill>
            <a:latin typeface="Arial"/>
            <a:ea typeface="Arial"/>
            <a:cs typeface="Arial"/>
          </a:endParaRPr>
        </a:p>
        <a:p>
          <a:pPr algn="l" rtl="0">
            <a:defRPr sz="1000"/>
          </a:pPr>
          <a:r>
            <a:rPr lang="fr-FR" sz="1100" b="1" i="0" u="sng" strike="noStrike">
              <a:solidFill>
                <a:srgbClr val="DD0806"/>
              </a:solidFill>
              <a:latin typeface="Arial"/>
              <a:ea typeface="Arial"/>
              <a:cs typeface="Arial"/>
            </a:rPr>
            <a:t>Votre profil</a:t>
          </a:r>
        </a:p>
        <a:p>
          <a:pPr algn="l" rtl="0">
            <a:defRPr sz="1000"/>
          </a:pPr>
          <a:r>
            <a:rPr lang="fr-FR" sz="1100" b="1" i="0" strike="noStrike">
              <a:solidFill>
                <a:srgbClr val="000000"/>
              </a:solidFill>
              <a:latin typeface="Arial"/>
              <a:ea typeface="Arial"/>
              <a:cs typeface="Arial"/>
            </a:rPr>
            <a:t>Commencer par remplir les cases concernant votre situation administrative</a:t>
          </a:r>
        </a:p>
        <a:p>
          <a:pPr algn="l" rtl="0">
            <a:defRPr sz="1000"/>
          </a:pPr>
          <a:r>
            <a:rPr lang="fr-FR" sz="1100" b="1" i="0" strike="noStrike">
              <a:solidFill>
                <a:srgbClr val="000000"/>
              </a:solidFill>
              <a:latin typeface="Arial"/>
              <a:ea typeface="Arial"/>
              <a:cs typeface="Arial"/>
            </a:rPr>
            <a:t>Choisir aussi votre délai de réglement, validité du devis et % de l'acompte</a:t>
          </a:r>
        </a:p>
        <a:p>
          <a:pPr algn="l" rtl="0">
            <a:defRPr sz="1000"/>
          </a:pPr>
          <a:r>
            <a:rPr lang="fr-FR" sz="1100" b="0" i="0" strike="noStrike">
              <a:solidFill>
                <a:srgbClr val="000000"/>
              </a:solidFill>
              <a:latin typeface="Arial"/>
              <a:ea typeface="Arial"/>
              <a:cs typeface="Arial"/>
            </a:rPr>
            <a:t>Si vous êtes :  artisan, auteur, assujetti ou non à la TVA, membre ou non d'une AGA. il faut l'indiquer pour rendre conforme les mentions de l'annexe. Cet onglet vous permettra également de transformer votre devis en facture si vous le souhaitez.</a:t>
          </a:r>
        </a:p>
        <a:p>
          <a:pPr algn="l" rtl="0">
            <a:defRPr sz="1000"/>
          </a:pPr>
          <a:r>
            <a:rPr lang="fr-FR" sz="1100" b="0" i="0" strike="noStrike">
              <a:solidFill>
                <a:srgbClr val="000000"/>
              </a:solidFill>
              <a:latin typeface="Arial"/>
              <a:ea typeface="Arial"/>
              <a:cs typeface="Arial"/>
            </a:rPr>
            <a:t>Vous pourrez également choisir d'inclure ou non les honoraires et frais de production dans la facture.</a:t>
          </a:r>
        </a:p>
        <a:p>
          <a:pPr algn="l" rtl="0">
            <a:defRPr sz="1000"/>
          </a:pPr>
          <a:r>
            <a:rPr lang="fr-FR" sz="1100" b="0" i="0" strike="noStrike">
              <a:solidFill>
                <a:srgbClr val="000000"/>
              </a:solidFill>
              <a:latin typeface="Arial"/>
              <a:ea typeface="Arial"/>
              <a:cs typeface="Arial"/>
            </a:rPr>
            <a:t>Vous pourrez aussi indiquer le montant de l'acompte qui vous aura été versé afin qu'il soit pris en compte sur la facture</a:t>
          </a:r>
        </a:p>
        <a:p>
          <a:pPr algn="l" rtl="0">
            <a:defRPr sz="1000"/>
          </a:pPr>
          <a:endParaRPr lang="fr-FR" sz="1100" b="0" i="0" strike="noStrike">
            <a:solidFill>
              <a:srgbClr val="000000"/>
            </a:solidFill>
            <a:latin typeface="Arial"/>
            <a:ea typeface="Arial"/>
            <a:cs typeface="Arial"/>
          </a:endParaRPr>
        </a:p>
        <a:p>
          <a:pPr algn="l" rtl="0">
            <a:defRPr sz="1000"/>
          </a:pPr>
          <a:r>
            <a:rPr lang="fr-FR" sz="1100" b="1" i="0" strike="noStrike">
              <a:solidFill>
                <a:srgbClr val="000000"/>
              </a:solidFill>
              <a:latin typeface="Arial"/>
              <a:ea typeface="Arial"/>
              <a:cs typeface="Arial"/>
            </a:rPr>
            <a:t>Base clients :</a:t>
          </a:r>
        </a:p>
        <a:p>
          <a:pPr algn="l" rtl="0">
            <a:defRPr sz="1000"/>
          </a:pPr>
          <a:r>
            <a:rPr lang="fr-FR" sz="1100" b="0" i="0" strike="noStrike">
              <a:solidFill>
                <a:srgbClr val="000000"/>
              </a:solidFill>
              <a:latin typeface="Arial"/>
              <a:ea typeface="Arial"/>
              <a:cs typeface="Arial"/>
            </a:rPr>
            <a:t>Remplir et ensuite en écrivant le nom de l'entreprise dans votre devis, le reste des coordonnées apparaitra automatiquement </a:t>
          </a:r>
          <a:r>
            <a:rPr lang="fr-FR" sz="1100" b="0" i="1" strike="noStrike">
              <a:solidFill>
                <a:srgbClr val="000000"/>
              </a:solidFill>
              <a:latin typeface="Arial"/>
              <a:ea typeface="Arial"/>
              <a:cs typeface="Arial"/>
            </a:rPr>
            <a:t>(responsable, rue, cp, ville, pays et N° de TVA sur la facture et N° siret)</a:t>
          </a:r>
        </a:p>
        <a:p>
          <a:pPr algn="l" rtl="0">
            <a:defRPr sz="1000"/>
          </a:pPr>
          <a:endParaRPr lang="fr-FR" sz="1100" b="0" i="1" strike="noStrike">
            <a:solidFill>
              <a:srgbClr val="000000"/>
            </a:solidFill>
            <a:latin typeface="Arial"/>
            <a:ea typeface="Arial"/>
            <a:cs typeface="Arial"/>
          </a:endParaRPr>
        </a:p>
        <a:p>
          <a:pPr algn="l" rtl="0">
            <a:defRPr sz="1000"/>
          </a:pPr>
          <a:r>
            <a:rPr lang="fr-FR" sz="1100" b="1" i="1" strike="noStrike">
              <a:solidFill>
                <a:srgbClr val="000000"/>
              </a:solidFill>
              <a:latin typeface="Arial"/>
              <a:ea typeface="Arial"/>
              <a:cs typeface="Arial"/>
            </a:rPr>
            <a:t>Devis-Fact : </a:t>
          </a:r>
        </a:p>
        <a:p>
          <a:pPr algn="l" rtl="0">
            <a:defRPr sz="1000"/>
          </a:pPr>
          <a:r>
            <a:rPr lang="fr-FR" sz="1100" b="0" i="1" strike="noStrike">
              <a:solidFill>
                <a:srgbClr val="000000"/>
              </a:solidFill>
              <a:latin typeface="Arial"/>
              <a:ea typeface="Arial"/>
              <a:cs typeface="Arial"/>
            </a:rPr>
            <a:t>Pour les ventes à l'export et dans l'UE suivre les indications portées sur la feuille (en survolant la case avec la souris) sans oublier le N° intracommunautaire de TVA de votre client pour l'europe. Pour les ventes en France ces mentions peuvent être effacées. Les informations de coût moyen à la PDV et de part diffuseur peuvent être effacée sans compromettre les automatismes de calcul. Par défaut la date de livraison est celle de la facture mais vous pouvez la changer sans incidence sur les calculs.</a:t>
          </a:r>
        </a:p>
        <a:p>
          <a:pPr algn="l" rtl="0">
            <a:defRPr sz="1000"/>
          </a:pPr>
          <a:endParaRPr lang="fr-FR" sz="1100" b="0" i="1" strike="noStrike">
            <a:solidFill>
              <a:srgbClr val="000000"/>
            </a:solidFill>
            <a:latin typeface="Arial"/>
            <a:ea typeface="Arial"/>
            <a:cs typeface="Arial"/>
          </a:endParaRPr>
        </a:p>
        <a:p>
          <a:pPr algn="l" rtl="0">
            <a:defRPr sz="1000"/>
          </a:pPr>
          <a:r>
            <a:rPr lang="fr-FR" sz="1100" b="1" i="1" strike="noStrike">
              <a:solidFill>
                <a:srgbClr val="000000"/>
              </a:solidFill>
              <a:latin typeface="Arial"/>
              <a:ea typeface="Arial"/>
              <a:cs typeface="Arial"/>
            </a:rPr>
            <a:t>Annexe CGC: </a:t>
          </a:r>
        </a:p>
        <a:p>
          <a:pPr algn="l" rtl="0">
            <a:defRPr sz="1000"/>
          </a:pPr>
          <a:r>
            <a:rPr lang="fr-FR" sz="1100" b="0" i="1" strike="noStrike">
              <a:solidFill>
                <a:srgbClr val="000000"/>
              </a:solidFill>
              <a:latin typeface="Arial"/>
              <a:ea typeface="Arial"/>
              <a:cs typeface="Arial"/>
            </a:rPr>
            <a:t>Il est prévu une annexe avec les conditions générales de cessions. C'est aussi cette annexe qui précise les conditions d'execution et de réglement. Le fait que la validation du devis se fasse sur ce document oblige le diffuseur à s'engager sur vos conventions. Vous pouvez modifier manuellement les informations qui ne vous conviennent pas.</a:t>
          </a:r>
        </a:p>
        <a:p>
          <a:pPr algn="l" rtl="0">
            <a:defRPr sz="1000"/>
          </a:pPr>
          <a:endParaRPr lang="fr-FR" sz="1100" b="0" i="1" strike="noStrike">
            <a:solidFill>
              <a:srgbClr val="000000"/>
            </a:solidFill>
            <a:latin typeface="Arial"/>
            <a:ea typeface="Arial"/>
            <a:cs typeface="Arial"/>
          </a:endParaRPr>
        </a:p>
        <a:p>
          <a:pPr algn="l" rtl="0">
            <a:defRPr sz="1000"/>
          </a:pPr>
          <a:r>
            <a:rPr lang="fr-FR" sz="1100" b="1" i="1" strike="noStrike">
              <a:solidFill>
                <a:srgbClr val="000000"/>
              </a:solidFill>
              <a:latin typeface="Arial"/>
              <a:ea typeface="Arial"/>
              <a:cs typeface="Arial"/>
            </a:rPr>
            <a:t>Temps passé:</a:t>
          </a:r>
        </a:p>
        <a:p>
          <a:pPr algn="l" rtl="0">
            <a:defRPr sz="1000"/>
          </a:pPr>
          <a:r>
            <a:rPr lang="fr-FR" sz="1100" b="0" i="1" strike="noStrike">
              <a:solidFill>
                <a:srgbClr val="000000"/>
              </a:solidFill>
              <a:latin typeface="Arial"/>
              <a:ea typeface="Arial"/>
              <a:cs typeface="Arial"/>
            </a:rPr>
            <a:t>Cet onglet vous permet d'évaluer des niveaux de pdv par rapport à votre prix de base moyen. Les montants sont indiqués en heures ou jours, il est proposé un prix moyen à la pdv en renseignant la quantité de pdv effectuée. </a:t>
          </a:r>
        </a:p>
        <a:p>
          <a:pPr algn="l" rtl="0">
            <a:defRPr sz="1000"/>
          </a:pPr>
          <a:r>
            <a:rPr lang="fr-FR" sz="1100" b="0" i="1" strike="noStrike">
              <a:solidFill>
                <a:srgbClr val="000000"/>
              </a:solidFill>
              <a:latin typeface="Arial"/>
              <a:ea typeface="Arial"/>
              <a:cs typeface="Arial"/>
            </a:rPr>
            <a:t>Si besoin vous pouvez remplacer les informations de temps par le mot "forfait" en cochant la case correspondante.</a:t>
          </a:r>
        </a:p>
        <a:p>
          <a:pPr algn="l" rtl="0">
            <a:defRPr sz="1000"/>
          </a:pPr>
          <a:r>
            <a:rPr lang="fr-FR" sz="1100" b="0" i="1" strike="noStrike">
              <a:solidFill>
                <a:srgbClr val="000000"/>
              </a:solidFill>
              <a:latin typeface="Arial"/>
              <a:ea typeface="Arial"/>
              <a:cs typeface="Arial"/>
            </a:rPr>
            <a:t>La retouche est estimée en heures, et en % du prix de base de l'heure.</a:t>
          </a:r>
        </a:p>
        <a:p>
          <a:pPr algn="l" rtl="0">
            <a:defRPr sz="1000"/>
          </a:pPr>
          <a:r>
            <a:rPr lang="fr-FR" sz="1100" b="0" i="1" strike="noStrike">
              <a:solidFill>
                <a:srgbClr val="000000"/>
              </a:solidFill>
              <a:latin typeface="Arial"/>
              <a:ea typeface="Arial"/>
              <a:cs typeface="Arial"/>
            </a:rPr>
            <a:t>La post production (derawtisation, calibrage des courbes) est indiquée en % (modifiable) du prix de base.</a:t>
          </a:r>
        </a:p>
        <a:p>
          <a:pPr algn="l" rtl="0">
            <a:defRPr sz="1000"/>
          </a:pPr>
          <a:endParaRPr lang="fr-FR" sz="1100" b="0" i="1" strike="noStrike">
            <a:solidFill>
              <a:srgbClr val="000000"/>
            </a:solidFill>
            <a:latin typeface="Arial"/>
            <a:ea typeface="Arial"/>
            <a:cs typeface="Arial"/>
          </a:endParaRPr>
        </a:p>
        <a:p>
          <a:pPr algn="l" rtl="0">
            <a:defRPr sz="1000"/>
          </a:pPr>
          <a:r>
            <a:rPr lang="fr-FR" sz="1100" b="1" i="1" strike="noStrike">
              <a:solidFill>
                <a:srgbClr val="000000"/>
              </a:solidFill>
              <a:latin typeface="Arial"/>
              <a:ea typeface="Arial"/>
              <a:cs typeface="Arial"/>
            </a:rPr>
            <a:t>Equipe et location, barème mannequin et location studio :</a:t>
          </a:r>
        </a:p>
        <a:p>
          <a:pPr algn="l" rtl="0">
            <a:defRPr sz="1000"/>
          </a:pPr>
          <a:r>
            <a:rPr lang="fr-FR" sz="1100" b="0" i="1" strike="noStrike">
              <a:solidFill>
                <a:srgbClr val="000000"/>
              </a:solidFill>
              <a:latin typeface="Arial"/>
              <a:ea typeface="Arial"/>
              <a:cs typeface="Arial"/>
            </a:rPr>
            <a:t>La rémunération des intervenants peut être évaluée à partir d'honoraires, de salaire net et de salaire brut. </a:t>
          </a:r>
        </a:p>
        <a:p>
          <a:pPr algn="l" rtl="0">
            <a:defRPr sz="1000"/>
          </a:pPr>
          <a:r>
            <a:rPr lang="fr-FR" sz="1100" b="0" i="1" strike="noStrike">
              <a:solidFill>
                <a:srgbClr val="000000"/>
              </a:solidFill>
              <a:latin typeface="Arial"/>
              <a:ea typeface="Arial"/>
              <a:cs typeface="Arial"/>
            </a:rPr>
            <a:t>Pour le barème mannequin, il n'est proposé qu'à titre indicatif pour le client, il est indispensable d'avoir la confirmation par l'agence ou le modèle lui même qui doit théoriquement être rémunéré en salaire par votre client conformément au code du travail. </a:t>
          </a:r>
        </a:p>
        <a:p>
          <a:pPr algn="l" rtl="0">
            <a:defRPr sz="1000"/>
          </a:pPr>
          <a:r>
            <a:rPr lang="fr-FR" sz="1100" b="0" i="1" strike="noStrike">
              <a:solidFill>
                <a:srgbClr val="000000"/>
              </a:solidFill>
              <a:latin typeface="Arial"/>
              <a:ea typeface="Arial"/>
              <a:cs typeface="Arial"/>
            </a:rPr>
            <a:t>Un onglet "location studio" vous permet d'en calculer la surface en fonction de votre projet et d'estimer un coût approximatif .</a:t>
          </a:r>
        </a:p>
        <a:p>
          <a:pPr algn="l" rtl="0">
            <a:defRPr sz="1000"/>
          </a:pPr>
          <a:endParaRPr lang="fr-FR" sz="1100" b="0" i="1" strike="noStrike">
            <a:solidFill>
              <a:srgbClr val="000000"/>
            </a:solidFill>
            <a:latin typeface="Arial"/>
            <a:ea typeface="Arial"/>
            <a:cs typeface="Arial"/>
          </a:endParaRPr>
        </a:p>
        <a:p>
          <a:pPr algn="l" rtl="0">
            <a:defRPr sz="1000"/>
          </a:pPr>
          <a:r>
            <a:rPr lang="fr-FR" sz="1100" b="1" i="1" strike="noStrike">
              <a:solidFill>
                <a:srgbClr val="000000"/>
              </a:solidFill>
              <a:latin typeface="Arial"/>
              <a:ea typeface="Arial"/>
              <a:cs typeface="Arial"/>
            </a:rPr>
            <a:t>Portraits et produits: </a:t>
          </a:r>
        </a:p>
        <a:p>
          <a:pPr algn="l" rtl="0">
            <a:defRPr sz="1000"/>
          </a:pPr>
          <a:r>
            <a:rPr lang="fr-FR" sz="1100" b="0" i="1" strike="noStrike">
              <a:solidFill>
                <a:srgbClr val="000000"/>
              </a:solidFill>
              <a:latin typeface="Arial"/>
              <a:ea typeface="Arial"/>
              <a:cs typeface="Arial"/>
            </a:rPr>
            <a:t>Pour les prises de vue de produits, le prix s'affiche sur une ligne en valeur moyenne en fonction des informations portées dans le cadre "prise de vue produits simple". Pour les portraits corporate, une ligne spéciale dans le devis est prévue, il suffit de renseigner les informations du tableau.</a:t>
          </a:r>
        </a:p>
        <a:p>
          <a:pPr algn="l" rtl="0">
            <a:defRPr sz="1000"/>
          </a:pPr>
          <a:endParaRPr lang="fr-FR" sz="1100" b="0" i="1" strike="noStrike">
            <a:solidFill>
              <a:srgbClr val="000000"/>
            </a:solidFill>
            <a:latin typeface="Arial"/>
            <a:ea typeface="Arial"/>
            <a:cs typeface="Arial"/>
          </a:endParaRPr>
        </a:p>
        <a:p>
          <a:pPr algn="l" rtl="0">
            <a:defRPr sz="1000"/>
          </a:pPr>
          <a:r>
            <a:rPr lang="fr-FR" sz="1100" b="1" i="1" strike="noStrike">
              <a:solidFill>
                <a:srgbClr val="000000"/>
              </a:solidFill>
              <a:latin typeface="Arial"/>
              <a:ea typeface="Arial"/>
              <a:cs typeface="Arial"/>
            </a:rPr>
            <a:t>Les onglets droits:</a:t>
          </a:r>
        </a:p>
        <a:p>
          <a:pPr algn="l" rtl="0">
            <a:defRPr sz="1000"/>
          </a:pPr>
          <a:r>
            <a:rPr lang="fr-FR" sz="1100" b="0" i="1" strike="noStrike">
              <a:solidFill>
                <a:srgbClr val="000000"/>
              </a:solidFill>
              <a:latin typeface="Arial"/>
              <a:ea typeface="Arial"/>
              <a:cs typeface="Arial"/>
            </a:rPr>
            <a:t>Il existe un onglet "droit print &amp; expo" [brochure, droit de représentation et dossier de presse] et un onglet droit internet [droit photo et droit video]. Un onglet est aussi proposé ["Droits pour la publicité"] pour le calcul des droits affiches, annonces presse, poster et imprimés divers issus directement du barème paru au journal officiel.</a:t>
          </a:r>
          <a:r>
            <a:rPr lang="fr-FR" sz="1100" b="0" i="1" strike="noStrike" baseline="0">
              <a:solidFill>
                <a:srgbClr val="000000"/>
              </a:solidFill>
              <a:latin typeface="Arial"/>
              <a:ea typeface="Arial"/>
              <a:cs typeface="Arial"/>
            </a:rPr>
            <a:t> Des droits additionnels pour l'étranger peuvent être ajoutés sur la même base que les droits France, Europe. Onglet "droit packaging" basé sur les principaux barèmes de droits (SAIF, ADAGP, UPP, SOFAM)</a:t>
          </a:r>
          <a:endParaRPr lang="fr-FR" sz="1100" b="0" i="1" strike="noStrike">
            <a:solidFill>
              <a:srgbClr val="000000"/>
            </a:solidFill>
            <a:latin typeface="Arial"/>
            <a:ea typeface="Arial"/>
            <a:cs typeface="Arial"/>
          </a:endParaRPr>
        </a:p>
        <a:p>
          <a:pPr algn="l" rtl="0">
            <a:defRPr sz="1000"/>
          </a:pPr>
          <a:endParaRPr lang="fr-FR" sz="1100" b="0" i="1" strike="noStrike">
            <a:solidFill>
              <a:srgbClr val="000000"/>
            </a:solidFill>
            <a:latin typeface="Arial"/>
            <a:ea typeface="Arial"/>
            <a:cs typeface="Arial"/>
          </a:endParaRPr>
        </a:p>
        <a:p>
          <a:pPr algn="l" rtl="0">
            <a:defRPr sz="1000"/>
          </a:pPr>
          <a:r>
            <a:rPr lang="fr-FR" sz="1100" b="1" i="1" strike="noStrike">
              <a:solidFill>
                <a:srgbClr val="000000"/>
              </a:solidFill>
              <a:latin typeface="Arial"/>
              <a:ea typeface="Arial"/>
              <a:cs typeface="Arial"/>
            </a:rPr>
            <a:t>Hébergement et Km :</a:t>
          </a:r>
        </a:p>
        <a:p>
          <a:pPr algn="l" rtl="0">
            <a:defRPr sz="1000"/>
          </a:pPr>
          <a:r>
            <a:rPr lang="fr-FR" sz="1100" b="0" i="1" strike="noStrike">
              <a:solidFill>
                <a:srgbClr val="000000"/>
              </a:solidFill>
              <a:latin typeface="Arial"/>
              <a:ea typeface="Arial"/>
              <a:cs typeface="Arial"/>
            </a:rPr>
            <a:t>Les frais de déplacements sont évalués de façon forfaitaire ou réelle au choix. </a:t>
          </a:r>
        </a:p>
        <a:p>
          <a:pPr algn="l" rtl="0">
            <a:defRPr sz="1000"/>
          </a:pPr>
          <a:endParaRPr lang="fr-FR" sz="1100" b="0" i="1" strike="noStrike">
            <a:solidFill>
              <a:srgbClr val="000000"/>
            </a:solidFill>
            <a:latin typeface="Arial"/>
            <a:ea typeface="Arial"/>
            <a:cs typeface="Arial"/>
          </a:endParaRPr>
        </a:p>
        <a:p>
          <a:pPr algn="l" rtl="0">
            <a:defRPr sz="1000"/>
          </a:pPr>
          <a:r>
            <a:rPr lang="fr-FR" sz="1100" b="1" i="1" strike="noStrike">
              <a:solidFill>
                <a:srgbClr val="000000"/>
              </a:solidFill>
              <a:latin typeface="Arial"/>
              <a:ea typeface="Arial"/>
              <a:cs typeface="Arial"/>
            </a:rPr>
            <a:t>Fiche de prod et Synthèse :</a:t>
          </a:r>
        </a:p>
        <a:p>
          <a:pPr algn="l" rtl="0">
            <a:defRPr sz="1000"/>
          </a:pPr>
          <a:r>
            <a:rPr lang="fr-FR" sz="1100" b="0" i="1" strike="noStrike">
              <a:solidFill>
                <a:srgbClr val="000000"/>
              </a:solidFill>
              <a:latin typeface="Arial"/>
              <a:ea typeface="Arial"/>
              <a:cs typeface="Arial"/>
            </a:rPr>
            <a:t>Cet onglet sert à évaluer l'adéquation entre les prévisions et la réalité de la production. C'est une aide à la gestion. </a:t>
          </a:r>
        </a:p>
        <a:p>
          <a:pPr algn="l" rtl="0">
            <a:defRPr sz="1000"/>
          </a:pPr>
          <a:r>
            <a:rPr lang="fr-FR" sz="1100" b="0" i="1" strike="noStrike">
              <a:solidFill>
                <a:srgbClr val="000000"/>
              </a:solidFill>
              <a:latin typeface="Arial"/>
              <a:ea typeface="Arial"/>
              <a:cs typeface="Arial"/>
            </a:rPr>
            <a:t>Il y a dans l'onglet [Temps passé] une option permettant de lier la fiche de prod et quelques lignes de calcul de la feuille.</a:t>
          </a:r>
        </a:p>
        <a:p>
          <a:pPr algn="l" rtl="0">
            <a:defRPr sz="1000"/>
          </a:pPr>
          <a:r>
            <a:rPr lang="fr-FR" sz="1100" b="0" i="1" strike="noStrike">
              <a:solidFill>
                <a:srgbClr val="000000"/>
              </a:solidFill>
              <a:latin typeface="Arial"/>
              <a:ea typeface="Arial"/>
              <a:cs typeface="Arial"/>
            </a:rPr>
            <a:t>L'onglet [synthèse] est un onglet qui vous aide dans les demandes à faire pour la réalisation d'un devis.</a:t>
          </a:r>
        </a:p>
        <a:p>
          <a:pPr algn="l" rtl="0">
            <a:defRPr sz="1000"/>
          </a:pPr>
          <a:endParaRPr lang="fr-FR" sz="1100" b="0" i="1" strike="noStrike">
            <a:solidFill>
              <a:srgbClr val="000000"/>
            </a:solidFill>
            <a:latin typeface="Arial"/>
            <a:ea typeface="Arial"/>
            <a:cs typeface="Arial"/>
          </a:endParaRPr>
        </a:p>
        <a:p>
          <a:pPr algn="l" rtl="0">
            <a:defRPr sz="1000"/>
          </a:pPr>
          <a:r>
            <a:rPr lang="fr-FR" sz="1100" b="0" i="1" strike="noStrike">
              <a:solidFill>
                <a:srgbClr val="000000"/>
              </a:solidFill>
              <a:latin typeface="Arial"/>
              <a:ea typeface="Arial"/>
              <a:cs typeface="Arial"/>
            </a:rPr>
            <a:t>Etant donné le nombre d'informations requises pour remplir ce calculateur et votre devis, il est conseillé de repartir toujours d'un fichier vierge pour de nouveaux calculs et d'enregistrer le fichier modifié sous une reférence spécifique dans votre dossier client. Un onglet graphique vous permet de visualiser votre devis et sa rentabliité (surtout utile pour les professionnels en régime micro car permet de visualiser la part de remboursement de frais sur laquelle n'est pas perçue de bénéfice). </a:t>
          </a:r>
          <a:r>
            <a:rPr lang="fr-FR" sz="1100" b="1" i="1" strike="noStrike">
              <a:solidFill>
                <a:srgbClr val="900000"/>
              </a:solidFill>
              <a:latin typeface="Arial"/>
              <a:ea typeface="Arial"/>
              <a:cs typeface="Arial"/>
            </a:rPr>
            <a:t>Seules les cases jaunes ou oranges sont appelées à être modifiées.</a:t>
          </a:r>
        </a:p>
        <a:p>
          <a:pPr algn="l" rtl="0">
            <a:defRPr sz="1000"/>
          </a:pPr>
          <a:endParaRPr lang="fr-FR" sz="1100" b="0" i="1" strike="noStrike">
            <a:solidFill>
              <a:srgbClr val="000000"/>
            </a:solidFill>
            <a:latin typeface="Arial"/>
            <a:ea typeface="Arial"/>
            <a:cs typeface="Arial"/>
          </a:endParaRPr>
        </a:p>
        <a:p>
          <a:pPr algn="l" rtl="0">
            <a:defRPr sz="1000"/>
          </a:pPr>
          <a:r>
            <a:rPr lang="fr-FR" sz="1100" b="1" i="1" strike="noStrike">
              <a:solidFill>
                <a:srgbClr val="000000"/>
              </a:solidFill>
              <a:latin typeface="Arial"/>
              <a:ea typeface="Arial"/>
              <a:cs typeface="Arial"/>
            </a:rPr>
            <a:t>L'utilisation de cet outils est faite sous la seule responsabilité de la personne qui l'utilise.</a:t>
          </a:r>
        </a:p>
        <a:p>
          <a:pPr algn="l" rtl="0">
            <a:defRPr sz="1000"/>
          </a:pPr>
          <a:endParaRPr lang="fr-FR" sz="1100" b="0" i="1" strike="noStrike">
            <a:solidFill>
              <a:srgbClr val="000000"/>
            </a:solidFill>
            <a:latin typeface="Arial"/>
            <a:ea typeface="Arial"/>
            <a:cs typeface="Arial"/>
          </a:endParaRPr>
        </a:p>
        <a:p>
          <a:pPr algn="l" rtl="0">
            <a:defRPr sz="1000"/>
          </a:pPr>
          <a:r>
            <a:rPr lang="fr-FR" sz="1100" b="0" i="1" strike="noStrike">
              <a:solidFill>
                <a:srgbClr val="000000"/>
              </a:solidFill>
              <a:latin typeface="Arial"/>
              <a:ea typeface="Arial"/>
              <a:cs typeface="Arial"/>
            </a:rPr>
            <a:t>Document communiqué à titre gratuit pour un usage personnel, ne peut être vendu et doit s'accompagner impérativement de l'ensemble des informations et onglets y compris cette page.</a:t>
          </a:r>
        </a:p>
        <a:p>
          <a:pPr algn="l" rtl="0">
            <a:defRPr sz="1000"/>
          </a:pPr>
          <a:r>
            <a:rPr lang="fr-FR" sz="1100" b="0" i="1" strike="noStrike">
              <a:solidFill>
                <a:srgbClr val="000000"/>
              </a:solidFill>
              <a:latin typeface="Arial"/>
              <a:ea typeface="Arial"/>
              <a:cs typeface="Arial"/>
            </a:rPr>
            <a:t>© 2011-2020 GPLA / ERIC DELAMARRE / consultant et formateur - Tous droits réservés - 06-80-85-81-08</a:t>
          </a:r>
        </a:p>
        <a:p>
          <a:pPr algn="l" rtl="0">
            <a:defRPr sz="1000"/>
          </a:pPr>
          <a:endParaRPr lang="fr-FR" sz="1100" b="0" i="1" strike="noStrike">
            <a:solidFill>
              <a:srgbClr val="000000"/>
            </a:solidFill>
            <a:latin typeface="Arial"/>
            <a:ea typeface="Arial"/>
            <a:cs typeface="Arial"/>
          </a:endParaRPr>
        </a:p>
        <a:p>
          <a:pPr algn="l" rtl="0">
            <a:defRPr sz="1000"/>
          </a:pPr>
          <a:r>
            <a:rPr lang="fr-FR" sz="1100" b="0" i="1" strike="noStrike">
              <a:solidFill>
                <a:srgbClr val="000000"/>
              </a:solidFill>
              <a:latin typeface="Arial"/>
              <a:ea typeface="Arial"/>
              <a:cs typeface="Arial"/>
            </a:rPr>
            <a:t>Création Eric Delamarre avec les contributions de Christophe Glaudel, David Grimardias, Stéphanie de Roquefeuil Prod'homme, Matthieu Suprin et tous les actifs du groupe devisexcelgpla.</a:t>
          </a:r>
        </a:p>
        <a:p>
          <a:pPr algn="l" rtl="0">
            <a:defRPr sz="1000"/>
          </a:pPr>
          <a:endParaRPr lang="fr-FR" sz="1100" b="0" i="1" strike="noStrike">
            <a:solidFill>
              <a:srgbClr val="000000"/>
            </a:solidFill>
            <a:latin typeface="Arial"/>
            <a:ea typeface="Arial"/>
            <a:cs typeface="Arial"/>
          </a:endParaRPr>
        </a:p>
        <a:p>
          <a:pPr algn="l" rtl="0">
            <a:defRPr sz="1000"/>
          </a:pPr>
          <a:r>
            <a:rPr lang="fr-FR" sz="1100" b="1" i="1" strike="noStrike">
              <a:solidFill>
                <a:srgbClr val="000000"/>
              </a:solidFill>
              <a:latin typeface="Arial"/>
              <a:ea typeface="Arial"/>
              <a:cs typeface="Arial"/>
            </a:rPr>
            <a:t>Version : 31 octobre</a:t>
          </a:r>
          <a:r>
            <a:rPr lang="fr-FR" sz="1100" b="1" i="1" strike="noStrike" baseline="0">
              <a:solidFill>
                <a:srgbClr val="000000"/>
              </a:solidFill>
              <a:latin typeface="Arial"/>
              <a:ea typeface="Arial"/>
              <a:cs typeface="Arial"/>
            </a:rPr>
            <a:t> 2020</a:t>
          </a:r>
          <a:endParaRPr lang="fr-FR" sz="1100" b="1" i="1" strike="noStrike">
            <a:solidFill>
              <a:srgbClr val="000000"/>
            </a:solidFill>
            <a:latin typeface="Arial"/>
            <a:ea typeface="Arial"/>
            <a:cs typeface="Arial"/>
          </a:endParaRPr>
        </a:p>
        <a:p>
          <a:pPr algn="l" rtl="0">
            <a:defRPr sz="1000"/>
          </a:pPr>
          <a:r>
            <a:rPr lang="fr-FR" sz="1100" b="1" i="1" strike="noStrike">
              <a:solidFill>
                <a:srgbClr val="000000"/>
              </a:solidFill>
              <a:latin typeface="Arial"/>
              <a:ea typeface="Arial"/>
              <a:cs typeface="Arial"/>
            </a:rPr>
            <a:t>Chaque version augmente la capacité de traitement ou corrige des bugs ou anomalies de calcul,</a:t>
          </a:r>
        </a:p>
        <a:p>
          <a:pPr algn="l" rtl="0">
            <a:defRPr sz="1000"/>
          </a:pPr>
          <a:r>
            <a:rPr lang="fr-FR" sz="1100" b="1" i="1" strike="noStrike">
              <a:solidFill>
                <a:srgbClr val="000000"/>
              </a:solidFill>
              <a:latin typeface="Arial"/>
              <a:ea typeface="Arial"/>
              <a:cs typeface="Arial"/>
            </a:rPr>
            <a:t> il est donc conseillé de détruire les versions antérieures en votre possession. Merci</a:t>
          </a:r>
        </a:p>
      </xdr:txBody>
    </xdr:sp>
    <xdr:clientData/>
  </xdr:twoCellAnchor>
  <xdr:twoCellAnchor editAs="oneCell">
    <xdr:from>
      <xdr:col>1</xdr:col>
      <xdr:colOff>596900</xdr:colOff>
      <xdr:row>0</xdr:row>
      <xdr:rowOff>114300</xdr:rowOff>
    </xdr:from>
    <xdr:to>
      <xdr:col>9</xdr:col>
      <xdr:colOff>1206500</xdr:colOff>
      <xdr:row>5</xdr:row>
      <xdr:rowOff>88900</xdr:rowOff>
    </xdr:to>
    <xdr:pic>
      <xdr:nvPicPr>
        <xdr:cNvPr id="1046" name="Image 2" descr="Capture d’écran 2017-01-11 à 13.36.36.png">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676400" y="114300"/>
          <a:ext cx="6502400" cy="105410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50801</xdr:colOff>
      <xdr:row>1</xdr:row>
      <xdr:rowOff>12700</xdr:rowOff>
    </xdr:from>
    <xdr:to>
      <xdr:col>1</xdr:col>
      <xdr:colOff>963076</xdr:colOff>
      <xdr:row>2</xdr:row>
      <xdr:rowOff>325500</xdr:rowOff>
    </xdr:to>
    <xdr:pic>
      <xdr:nvPicPr>
        <xdr:cNvPr id="3" name="Image 2" descr="attention-sign-vector-id587200944.jpg">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a:stretch>
          <a:fillRect/>
        </a:stretch>
      </xdr:blipFill>
      <xdr:spPr>
        <a:xfrm>
          <a:off x="2971801" y="355600"/>
          <a:ext cx="912275" cy="820800"/>
        </a:xfrm>
        <a:prstGeom prst="rect">
          <a:avLst/>
        </a:prstGeom>
        <a:ln>
          <a:solidFill>
            <a:schemeClr val="tx1"/>
          </a:solidFill>
        </a:ln>
        <a:effectLst>
          <a:outerShdw blurRad="50800" dist="38100" dir="2700000" algn="tl" rotWithShape="0">
            <a:srgbClr val="000000">
              <a:alpha val="43000"/>
            </a:srgbClr>
          </a:outerShdw>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50800</xdr:colOff>
      <xdr:row>35</xdr:row>
      <xdr:rowOff>38100</xdr:rowOff>
    </xdr:from>
    <xdr:to>
      <xdr:col>0</xdr:col>
      <xdr:colOff>368300</xdr:colOff>
      <xdr:row>35</xdr:row>
      <xdr:rowOff>355600</xdr:rowOff>
    </xdr:to>
    <xdr:pic>
      <xdr:nvPicPr>
        <xdr:cNvPr id="43023" name="Image 1" descr="I-Moyenne-8075-panneau-de-danger-point-d-exclamation-a14.net.jpg">
          <a:extLst>
            <a:ext uri="{FF2B5EF4-FFF2-40B4-BE49-F238E27FC236}">
              <a16:creationId xmlns:a16="http://schemas.microsoft.com/office/drawing/2014/main" id="{00000000-0008-0000-0200-00000FA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0800" y="8877300"/>
          <a:ext cx="317500" cy="317500"/>
        </a:xfrm>
        <a:prstGeom prst="rect">
          <a:avLst/>
        </a:prstGeom>
        <a:noFill/>
        <a:ln w="317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2286000</xdr:colOff>
      <xdr:row>0</xdr:row>
      <xdr:rowOff>88899</xdr:rowOff>
    </xdr:from>
    <xdr:to>
      <xdr:col>1</xdr:col>
      <xdr:colOff>4487828</xdr:colOff>
      <xdr:row>5</xdr:row>
      <xdr:rowOff>84665</xdr:rowOff>
    </xdr:to>
    <xdr:pic>
      <xdr:nvPicPr>
        <xdr:cNvPr id="45079" name="Image 2" descr="Capture d’écran 2018-06-30 à 16.17.31.png">
          <a:extLst>
            <a:ext uri="{FF2B5EF4-FFF2-40B4-BE49-F238E27FC236}">
              <a16:creationId xmlns:a16="http://schemas.microsoft.com/office/drawing/2014/main" id="{00000000-0008-0000-0300-000017B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646333" y="88899"/>
          <a:ext cx="2201828" cy="1604433"/>
        </a:xfrm>
        <a:prstGeom prst="rect">
          <a:avLst/>
        </a:prstGeom>
        <a:noFill/>
        <a:ln w="9525">
          <a:noFill/>
          <a:miter lim="800000"/>
          <a:headEnd/>
          <a:tailEnd/>
        </a:ln>
      </xdr:spPr>
    </xdr:pic>
    <xdr:clientData/>
  </xdr:twoCellAnchor>
  <xdr:absoluteAnchor>
    <xdr:pos x="55034" y="5319014"/>
    <xdr:ext cx="18910300" cy="2031325"/>
    <xdr:sp macro="" textlink="">
      <xdr:nvSpPr>
        <xdr:cNvPr id="2" name="ZoneTexte 1">
          <a:extLst>
            <a:ext uri="{FF2B5EF4-FFF2-40B4-BE49-F238E27FC236}">
              <a16:creationId xmlns:a16="http://schemas.microsoft.com/office/drawing/2014/main" id="{00000000-0008-0000-0300-000002000000}"/>
            </a:ext>
          </a:extLst>
        </xdr:cNvPr>
        <xdr:cNvSpPr txBox="1"/>
      </xdr:nvSpPr>
      <xdr:spPr>
        <a:xfrm>
          <a:off x="55034" y="5319014"/>
          <a:ext cx="18910300" cy="2031325"/>
        </a:xfrm>
        <a:prstGeom prst="rect">
          <a:avLst/>
        </a:prstGeom>
        <a:solidFill>
          <a:schemeClr val="bg1"/>
        </a:solidFill>
        <a:ln>
          <a:noFill/>
        </a:ln>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l" rtl="0">
            <a:defRPr sz="1000"/>
          </a:pPr>
          <a:r>
            <a:rPr lang="fr-FR" sz="1800" b="0" i="0" strike="noStrike">
              <a:solidFill>
                <a:srgbClr val="000000"/>
              </a:solidFill>
              <a:latin typeface="Arial"/>
              <a:ea typeface="Arial"/>
              <a:cs typeface="Arial"/>
            </a:rPr>
            <a:t>Concerne les prises de vue de .... dans telle ou telle ambiance avec (ou sans) accessoirisation</a:t>
          </a:r>
        </a:p>
        <a:p>
          <a:pPr algn="l" rtl="0">
            <a:defRPr sz="1000"/>
          </a:pPr>
          <a:r>
            <a:rPr lang="fr-FR" sz="1800" b="0" i="0" strike="noStrike">
              <a:solidFill>
                <a:srgbClr val="000000"/>
              </a:solidFill>
              <a:latin typeface="Arial"/>
              <a:ea typeface="Arial"/>
              <a:cs typeface="Arial"/>
            </a:rPr>
            <a:t>Concerne les prises de vue en vos locaux de ... </a:t>
          </a:r>
        </a:p>
        <a:p>
          <a:pPr algn="l" rtl="0">
            <a:defRPr sz="1000"/>
          </a:pPr>
          <a:r>
            <a:rPr lang="fr-FR" sz="1800" b="0" i="0" strike="noStrike">
              <a:solidFill>
                <a:srgbClr val="000000"/>
              </a:solidFill>
              <a:latin typeface="Arial"/>
              <a:ea typeface="Arial"/>
              <a:cs typeface="Arial"/>
            </a:rPr>
            <a:t>Concerne la réalisation d'un reportage événementiel à .. pour une durée prévue de .... </a:t>
          </a:r>
        </a:p>
        <a:p>
          <a:pPr algn="l" rtl="0">
            <a:defRPr sz="1000"/>
          </a:pPr>
          <a:r>
            <a:rPr lang="fr-FR" sz="1800" b="0" i="0" strike="noStrike">
              <a:solidFill>
                <a:srgbClr val="000000"/>
              </a:solidFill>
              <a:latin typeface="Arial"/>
              <a:ea typeface="Arial"/>
              <a:cs typeface="Arial"/>
            </a:rPr>
            <a:t>Concerne les prises de vue d'architecture intérieure (extérieure) de tel immeuble à ... </a:t>
          </a:r>
        </a:p>
        <a:p>
          <a:pPr algn="l" rtl="0">
            <a:defRPr sz="1000"/>
          </a:pPr>
          <a:r>
            <a:rPr lang="fr-FR" sz="1800" b="0" i="0" strike="noStrike">
              <a:solidFill>
                <a:srgbClr val="000000"/>
              </a:solidFill>
              <a:latin typeface="Arial"/>
              <a:ea typeface="Arial"/>
              <a:cs typeface="Arial"/>
            </a:rPr>
            <a:t>etc...</a:t>
          </a:r>
        </a:p>
        <a:p>
          <a:pPr algn="l" rtl="0">
            <a:defRPr sz="1000"/>
          </a:pPr>
          <a:r>
            <a:rPr lang="fr-FR" sz="1800" b="0" i="0" strike="noStrike">
              <a:solidFill>
                <a:srgbClr val="000000"/>
              </a:solidFill>
              <a:latin typeface="Arial"/>
              <a:ea typeface="Arial"/>
              <a:cs typeface="Arial"/>
            </a:rPr>
            <a:t>etc...</a:t>
          </a:r>
        </a:p>
        <a:p>
          <a:pPr algn="l" rtl="0">
            <a:defRPr sz="1000"/>
          </a:pPr>
          <a:r>
            <a:rPr lang="fr-FR" sz="1800" b="0" i="0" strike="noStrike">
              <a:solidFill>
                <a:srgbClr val="000000"/>
              </a:solidFill>
              <a:latin typeface="Arial"/>
              <a:ea typeface="Arial"/>
              <a:cs typeface="Arial"/>
            </a:rPr>
            <a:t>etc...</a:t>
          </a:r>
        </a:p>
      </xdr:txBody>
    </xdr:sp>
    <xdr:clientData/>
  </xdr:absoluteAnchor>
</xdr:wsDr>
</file>

<file path=xl/drawings/drawing4.xml><?xml version="1.0" encoding="utf-8"?>
<xdr:wsDr xmlns:xdr="http://schemas.openxmlformats.org/drawingml/2006/spreadsheetDrawing" xmlns:a="http://schemas.openxmlformats.org/drawingml/2006/main">
  <xdr:twoCellAnchor>
    <xdr:from>
      <xdr:col>6</xdr:col>
      <xdr:colOff>25400</xdr:colOff>
      <xdr:row>4</xdr:row>
      <xdr:rowOff>444500</xdr:rowOff>
    </xdr:from>
    <xdr:to>
      <xdr:col>12</xdr:col>
      <xdr:colOff>254000</xdr:colOff>
      <xdr:row>8</xdr:row>
      <xdr:rowOff>428625</xdr:rowOff>
    </xdr:to>
    <xdr:cxnSp macro="">
      <xdr:nvCxnSpPr>
        <xdr:cNvPr id="39734" name="Connecteur en angle 10">
          <a:extLst>
            <a:ext uri="{FF2B5EF4-FFF2-40B4-BE49-F238E27FC236}">
              <a16:creationId xmlns:a16="http://schemas.microsoft.com/office/drawing/2014/main" id="{00000000-0008-0000-0600-0000369B0000}"/>
            </a:ext>
          </a:extLst>
        </xdr:cNvPr>
        <xdr:cNvCxnSpPr>
          <a:cxnSpLocks noChangeShapeType="1"/>
        </xdr:cNvCxnSpPr>
      </xdr:nvCxnSpPr>
      <xdr:spPr bwMode="auto">
        <a:xfrm>
          <a:off x="7867650" y="1619250"/>
          <a:ext cx="6515100" cy="2000250"/>
        </a:xfrm>
        <a:prstGeom prst="bentConnector3">
          <a:avLst>
            <a:gd name="adj1" fmla="val 99951"/>
          </a:avLst>
        </a:prstGeom>
        <a:noFill/>
        <a:ln w="38100">
          <a:solidFill>
            <a:srgbClr val="000000"/>
          </a:solidFill>
          <a:miter lim="800000"/>
          <a:headEnd/>
          <a:tailEnd type="triangle" w="lg" len="lg"/>
        </a:ln>
        <a:effectLst>
          <a:outerShdw blurRad="40000" dist="20000" dir="5400000" rotWithShape="0">
            <a:srgbClr val="000000">
              <a:alpha val="37999"/>
            </a:srgbClr>
          </a:outerShdw>
        </a:effectLst>
      </xdr:spPr>
    </xdr:cxn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880532</xdr:colOff>
      <xdr:row>38</xdr:row>
      <xdr:rowOff>16931</xdr:rowOff>
    </xdr:from>
    <xdr:to>
      <xdr:col>7</xdr:col>
      <xdr:colOff>2005244</xdr:colOff>
      <xdr:row>40</xdr:row>
      <xdr:rowOff>402334</xdr:rowOff>
    </xdr:to>
    <xdr:pic>
      <xdr:nvPicPr>
        <xdr:cNvPr id="4" name="Image 3" descr="attention-sign-vector-id587200944.jpg">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17034932" y="6874931"/>
          <a:ext cx="1124712" cy="1011936"/>
        </a:xfrm>
        <a:prstGeom prst="rect">
          <a:avLst/>
        </a:prstGeom>
        <a:ln>
          <a:solidFill>
            <a:schemeClr val="bg1">
              <a:lumMod val="50000"/>
            </a:schemeClr>
          </a:solidFill>
        </a:ln>
      </xdr:spPr>
    </xdr:pic>
    <xdr:clientData/>
  </xdr:twoCellAnchor>
</xdr:wsDr>
</file>

<file path=xl/drawings/drawing6.xml><?xml version="1.0" encoding="utf-8"?>
<xdr:wsDr xmlns:xdr="http://schemas.openxmlformats.org/drawingml/2006/spreadsheetDrawing" xmlns:a="http://schemas.openxmlformats.org/drawingml/2006/main">
  <xdr:oneCellAnchor>
    <xdr:from>
      <xdr:col>8</xdr:col>
      <xdr:colOff>15875</xdr:colOff>
      <xdr:row>69</xdr:row>
      <xdr:rowOff>85725</xdr:rowOff>
    </xdr:from>
    <xdr:ext cx="13795375" cy="447040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1477625" y="5578475"/>
          <a:ext cx="13795375" cy="4470400"/>
        </a:xfrm>
        <a:prstGeom prst="rect">
          <a:avLst/>
        </a:prstGeom>
        <a:solidFill>
          <a:schemeClr val="bg1"/>
        </a:solidFill>
        <a:ln>
          <a:solidFill>
            <a:schemeClr val="tx1"/>
          </a:solidFill>
        </a:ln>
        <a:effectLst>
          <a:innerShdw blurRad="63500" dist="50800" dir="13500000">
            <a:prstClr val="black">
              <a:alpha val="50000"/>
            </a:prstClr>
          </a:inn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rtl="0">
            <a:defRPr sz="1000"/>
          </a:pPr>
          <a:endParaRPr lang="fr-FR" sz="1200" b="0" i="0" strike="noStrike">
            <a:solidFill>
              <a:srgbClr val="000000"/>
            </a:solidFill>
            <a:latin typeface="Arial"/>
            <a:ea typeface="Arial"/>
            <a:cs typeface="Arial"/>
          </a:endParaRPr>
        </a:p>
        <a:p>
          <a:pPr algn="ctr" rtl="0">
            <a:defRPr sz="1000"/>
          </a:pPr>
          <a:endParaRPr lang="fr-FR" sz="1400" b="0" i="0" strike="noStrike">
            <a:solidFill>
              <a:srgbClr val="000000"/>
            </a:solidFill>
            <a:latin typeface="Arial"/>
            <a:ea typeface="Arial"/>
            <a:cs typeface="Arial"/>
          </a:endParaRPr>
        </a:p>
        <a:p>
          <a:pPr algn="ctr" rtl="0">
            <a:defRPr sz="1000"/>
          </a:pPr>
          <a:r>
            <a:rPr lang="fr-FR" sz="1400" b="0" i="0" strike="noStrike">
              <a:solidFill>
                <a:srgbClr val="000000"/>
              </a:solidFill>
              <a:latin typeface="Arial"/>
              <a:ea typeface="Arial"/>
              <a:cs typeface="Arial"/>
            </a:rPr>
            <a:t>Barème des œuvres de commande en publicité paru au journal officiel en 1987, la valeur de point à utiliser dans ce cas est en moyenne de 3 euros. </a:t>
          </a:r>
        </a:p>
        <a:p>
          <a:pPr algn="ctr" rtl="0">
            <a:defRPr sz="1000"/>
          </a:pPr>
          <a:endParaRPr lang="fr-FR" sz="1400" b="0" i="0" strike="noStrike">
            <a:solidFill>
              <a:srgbClr val="000000"/>
            </a:solidFill>
            <a:latin typeface="Arial"/>
            <a:ea typeface="Arial"/>
            <a:cs typeface="Arial"/>
          </a:endParaRPr>
        </a:p>
        <a:p>
          <a:pPr algn="ctr" rtl="0">
            <a:defRPr sz="1000"/>
          </a:pPr>
          <a:r>
            <a:rPr lang="fr-FR" sz="1400" b="0" i="0" strike="noStrike">
              <a:solidFill>
                <a:srgbClr val="000000"/>
              </a:solidFill>
              <a:latin typeface="Arial"/>
              <a:ea typeface="Arial"/>
              <a:cs typeface="Arial"/>
            </a:rPr>
            <a:t>Le nombre d'exemplaires du tirage s'obtient en additionnant les exemplaires</a:t>
          </a:r>
          <a:r>
            <a:rPr lang="fr-FR" sz="1400" b="0" i="0" strike="noStrike" baseline="0">
              <a:solidFill>
                <a:srgbClr val="000000"/>
              </a:solidFill>
              <a:latin typeface="Arial"/>
              <a:ea typeface="Arial"/>
              <a:cs typeface="Arial"/>
            </a:rPr>
            <a:t> dans chaque catégorie pour la durée de cession  initialement prévues </a:t>
          </a:r>
          <a:endParaRPr lang="fr-FR" sz="1400" b="0" i="0" strike="noStrike">
            <a:solidFill>
              <a:srgbClr val="000000"/>
            </a:solidFill>
            <a:latin typeface="Arial"/>
            <a:ea typeface="Arial"/>
            <a:cs typeface="Arial"/>
          </a:endParaRPr>
        </a:p>
        <a:p>
          <a:pPr algn="ctr" rtl="0">
            <a:defRPr sz="1000"/>
          </a:pPr>
          <a:r>
            <a:rPr lang="fr-FR" sz="1400" b="0" i="0" strike="noStrike">
              <a:solidFill>
                <a:srgbClr val="000000"/>
              </a:solidFill>
              <a:latin typeface="Arial"/>
              <a:ea typeface="Arial"/>
              <a:cs typeface="Arial"/>
            </a:rPr>
            <a:t>(diffusion cumulée). Vous inscrivez dans la case jaune le nombre d'exemplaires connu ou estimé et le fichier calcule automatiquement la tranche </a:t>
          </a:r>
        </a:p>
        <a:p>
          <a:pPr algn="ctr" rtl="0">
            <a:defRPr sz="1000"/>
          </a:pPr>
          <a:endParaRPr lang="fr-FR" sz="1400" b="0" i="0" strike="noStrike">
            <a:solidFill>
              <a:srgbClr val="000000"/>
            </a:solidFill>
            <a:latin typeface="Arial"/>
            <a:ea typeface="Arial"/>
            <a:cs typeface="Arial"/>
          </a:endParaRPr>
        </a:p>
        <a:p>
          <a:pPr algn="ctr" rtl="0">
            <a:defRPr sz="1000"/>
          </a:pPr>
          <a:r>
            <a:rPr lang="fr-FR" sz="1400" b="0" i="0" strike="noStrike">
              <a:solidFill>
                <a:srgbClr val="000000"/>
              </a:solidFill>
              <a:latin typeface="Arial"/>
              <a:ea typeface="Arial"/>
              <a:cs typeface="Arial"/>
            </a:rPr>
            <a:t>La valeur moyenne </a:t>
          </a:r>
          <a:r>
            <a:rPr lang="fr-FR" sz="1400" b="0" i="0" strike="noStrike" baseline="0">
              <a:solidFill>
                <a:srgbClr val="000000"/>
              </a:solidFill>
              <a:latin typeface="Arial"/>
              <a:ea typeface="Arial"/>
              <a:cs typeface="Arial"/>
            </a:rPr>
            <a:t> du point peut varier de 1,5 € à 5 € voire plus dans certains cas, cela dépend des types de supports, durée, zone de diffusion, etc.</a:t>
          </a:r>
        </a:p>
        <a:p>
          <a:pPr algn="ctr" rtl="0">
            <a:defRPr sz="1000"/>
          </a:pPr>
          <a:r>
            <a:rPr lang="fr-FR" sz="1400" b="0" i="0" strike="noStrike" baseline="0">
              <a:solidFill>
                <a:srgbClr val="000000"/>
              </a:solidFill>
              <a:latin typeface="Arial"/>
              <a:ea typeface="Arial"/>
              <a:cs typeface="Arial"/>
            </a:rPr>
            <a:t> Ne pas oublier qu'une cession de droit est un accord basé sur des barèmes indicatifs et non sur des tarifs minimum</a:t>
          </a:r>
          <a:endParaRPr lang="fr-FR" sz="1400" b="0" i="0" strike="noStrike">
            <a:solidFill>
              <a:srgbClr val="000000"/>
            </a:solidFill>
            <a:latin typeface="Arial"/>
            <a:ea typeface="Arial"/>
            <a:cs typeface="Arial"/>
          </a:endParaRPr>
        </a:p>
        <a:p>
          <a:pPr algn="ctr" rtl="0">
            <a:defRPr sz="1000"/>
          </a:pPr>
          <a:endParaRPr lang="fr-FR" sz="1400" b="0" i="0" strike="noStrike">
            <a:solidFill>
              <a:srgbClr val="000000"/>
            </a:solidFill>
            <a:latin typeface="Arial"/>
            <a:ea typeface="Arial"/>
            <a:cs typeface="Arial"/>
          </a:endParaRPr>
        </a:p>
        <a:p>
          <a:pPr algn="ctr" rtl="0">
            <a:defRPr sz="1000"/>
          </a:pPr>
          <a:endParaRPr lang="fr-FR" sz="1400" b="0" i="0" strike="noStrike">
            <a:solidFill>
              <a:srgbClr val="000000"/>
            </a:solidFill>
            <a:latin typeface="Arial"/>
            <a:ea typeface="Arial"/>
            <a:cs typeface="Arial"/>
          </a:endParaRPr>
        </a:p>
        <a:p>
          <a:pPr algn="ctr" rtl="0">
            <a:defRPr sz="1000"/>
          </a:pPr>
          <a:r>
            <a:rPr lang="fr-FR" sz="1400" b="0" i="0" strike="noStrike">
              <a:solidFill>
                <a:srgbClr val="000000"/>
              </a:solidFill>
              <a:latin typeface="Arial"/>
              <a:ea typeface="Arial"/>
              <a:cs typeface="Arial"/>
            </a:rPr>
            <a:t>Il est possible de se baser sur le tarif média pour estimer la diffusion dans le cas des diffusion</a:t>
          </a:r>
          <a:r>
            <a:rPr lang="fr-FR" sz="1400" b="0" i="0" strike="noStrike" baseline="0">
              <a:solidFill>
                <a:srgbClr val="000000"/>
              </a:solidFill>
              <a:latin typeface="Arial"/>
              <a:ea typeface="Arial"/>
              <a:cs typeface="Arial"/>
            </a:rPr>
            <a:t> avec achat d'espace</a:t>
          </a:r>
          <a:r>
            <a:rPr lang="fr-FR" sz="1400" b="0" i="0" strike="noStrike">
              <a:solidFill>
                <a:srgbClr val="000000"/>
              </a:solidFill>
              <a:latin typeface="Arial"/>
              <a:ea typeface="Arial"/>
              <a:cs typeface="Arial"/>
            </a:rPr>
            <a:t> </a:t>
          </a:r>
        </a:p>
        <a:p>
          <a:pPr algn="ctr" rtl="0">
            <a:defRPr sz="1000"/>
          </a:pPr>
          <a:r>
            <a:rPr lang="fr-FR" sz="1400" b="0" i="0" strike="noStrike">
              <a:solidFill>
                <a:srgbClr val="000000"/>
              </a:solidFill>
              <a:latin typeface="Arial"/>
              <a:ea typeface="Arial"/>
              <a:cs typeface="Arial"/>
            </a:rPr>
            <a:t>(vous pouvez vous aider du site https://www.tarifspresse.com pour trouver les tirages des titres de presse)</a:t>
          </a:r>
        </a:p>
        <a:p>
          <a:pPr algn="ctr" rtl="0">
            <a:defRPr sz="1000"/>
          </a:pPr>
          <a:endParaRPr lang="fr-FR" sz="1200" b="0" i="0" strike="noStrike">
            <a:solidFill>
              <a:srgbClr val="000000"/>
            </a:solidFill>
            <a:latin typeface="Arial"/>
            <a:ea typeface="Arial"/>
            <a:cs typeface="Arial"/>
          </a:endParaRPr>
        </a:p>
        <a:p>
          <a:pPr algn="ctr" rtl="0">
            <a:defRPr sz="1000"/>
          </a:pPr>
          <a:r>
            <a:rPr lang="fr-FR" sz="1600" b="1" i="0" u="none" strike="noStrike">
              <a:solidFill>
                <a:srgbClr val="000000"/>
              </a:solidFill>
              <a:latin typeface="Arial"/>
              <a:ea typeface="Arial"/>
              <a:cs typeface="Arial"/>
            </a:rPr>
            <a:t>IMPORTANT : Le</a:t>
          </a:r>
          <a:r>
            <a:rPr lang="fr-FR" sz="1600" b="1" i="0" u="none" strike="noStrike" baseline="0">
              <a:solidFill>
                <a:srgbClr val="000000"/>
              </a:solidFill>
              <a:latin typeface="Arial"/>
              <a:ea typeface="Arial"/>
              <a:cs typeface="Arial"/>
            </a:rPr>
            <a:t> barème officielle comporte des tranches minimum qui ne sont pas toujours adaptées aux utilisations,</a:t>
          </a:r>
        </a:p>
        <a:p>
          <a:pPr algn="ctr" rtl="0">
            <a:defRPr sz="1000"/>
          </a:pPr>
          <a:r>
            <a:rPr lang="fr-FR" sz="1600" b="1" i="0" u="none" strike="noStrike" baseline="0">
              <a:solidFill>
                <a:srgbClr val="000000"/>
              </a:solidFill>
              <a:latin typeface="Arial"/>
              <a:ea typeface="Arial"/>
              <a:cs typeface="Arial"/>
            </a:rPr>
            <a:t> il vous est donc proposé des coeffficients non officiels calculés selon la même métode pour des quantités inférieures</a:t>
          </a:r>
        </a:p>
        <a:p>
          <a:pPr algn="ctr" rtl="0">
            <a:defRPr sz="1000"/>
          </a:pPr>
          <a:r>
            <a:rPr lang="fr-FR" sz="1600" b="1" i="0" u="none" strike="noStrike" baseline="0">
              <a:solidFill>
                <a:srgbClr val="000000"/>
              </a:solidFill>
              <a:latin typeface="Arial"/>
              <a:ea typeface="Arial"/>
              <a:cs typeface="Arial"/>
            </a:rPr>
            <a:t> (une alerte vous prévient)</a:t>
          </a:r>
        </a:p>
        <a:p>
          <a:pPr algn="ctr" rtl="0">
            <a:defRPr sz="1000"/>
          </a:pPr>
          <a:r>
            <a:rPr lang="fr-FR" sz="1600" b="1" i="0" u="none" strike="noStrike" baseline="0">
              <a:solidFill>
                <a:srgbClr val="000000"/>
              </a:solidFill>
              <a:latin typeface="Arial"/>
              <a:ea typeface="Arial"/>
              <a:cs typeface="Arial"/>
            </a:rPr>
            <a:t>Les tranches minimum officielles sont indiquées en italique</a:t>
          </a:r>
          <a:endParaRPr lang="fr-FR" sz="1600" b="1" i="0" u="none" strike="noStrike">
            <a:solidFill>
              <a:srgbClr val="000000"/>
            </a:solidFill>
            <a:latin typeface="Arial"/>
            <a:ea typeface="Arial"/>
            <a:cs typeface="Arial"/>
          </a:endParaRPr>
        </a:p>
      </xdr:txBody>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17</xdr:col>
      <xdr:colOff>186266</xdr:colOff>
      <xdr:row>14</xdr:row>
      <xdr:rowOff>1</xdr:rowOff>
    </xdr:from>
    <xdr:to>
      <xdr:col>18</xdr:col>
      <xdr:colOff>1023111</xdr:colOff>
      <xdr:row>17</xdr:row>
      <xdr:rowOff>97537</xdr:rowOff>
    </xdr:to>
    <xdr:pic>
      <xdr:nvPicPr>
        <xdr:cNvPr id="3" name="Image 2" descr="attention-sign-vector-id587200944.jpg">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3723599" y="4436534"/>
          <a:ext cx="1124712" cy="101193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114300</xdr:colOff>
      <xdr:row>9</xdr:row>
      <xdr:rowOff>76200</xdr:rowOff>
    </xdr:from>
    <xdr:to>
      <xdr:col>4</xdr:col>
      <xdr:colOff>1778000</xdr:colOff>
      <xdr:row>10</xdr:row>
      <xdr:rowOff>114300</xdr:rowOff>
    </xdr:to>
    <xdr:pic>
      <xdr:nvPicPr>
        <xdr:cNvPr id="50287" name="Image 32" descr="Capture d’écran 2019-08-24 à 19.10.37.png">
          <a:extLst>
            <a:ext uri="{FF2B5EF4-FFF2-40B4-BE49-F238E27FC236}">
              <a16:creationId xmlns:a16="http://schemas.microsoft.com/office/drawing/2014/main" id="{00000000-0008-0000-1000-00006FC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870700" y="7023100"/>
          <a:ext cx="1663700" cy="901700"/>
        </a:xfrm>
        <a:prstGeom prst="rect">
          <a:avLst/>
        </a:prstGeom>
        <a:noFill/>
      </xdr:spPr>
    </xdr:pic>
    <xdr:clientData/>
  </xdr:twoCellAnchor>
  <xdr:twoCellAnchor>
    <xdr:from>
      <xdr:col>3</xdr:col>
      <xdr:colOff>152400</xdr:colOff>
      <xdr:row>6</xdr:row>
      <xdr:rowOff>127000</xdr:rowOff>
    </xdr:from>
    <xdr:to>
      <xdr:col>3</xdr:col>
      <xdr:colOff>2032000</xdr:colOff>
      <xdr:row>6</xdr:row>
      <xdr:rowOff>127000</xdr:rowOff>
    </xdr:to>
    <xdr:cxnSp macro="">
      <xdr:nvCxnSpPr>
        <xdr:cNvPr id="50288" name="Connecteur droit avec flèche 5">
          <a:extLst>
            <a:ext uri="{FF2B5EF4-FFF2-40B4-BE49-F238E27FC236}">
              <a16:creationId xmlns:a16="http://schemas.microsoft.com/office/drawing/2014/main" id="{00000000-0008-0000-1000-000070C40000}"/>
            </a:ext>
          </a:extLst>
        </xdr:cNvPr>
        <xdr:cNvCxnSpPr>
          <a:cxnSpLocks noChangeShapeType="1"/>
        </xdr:cNvCxnSpPr>
      </xdr:nvCxnSpPr>
      <xdr:spPr bwMode="auto">
        <a:xfrm>
          <a:off x="4864100" y="2743200"/>
          <a:ext cx="1879600" cy="0"/>
        </a:xfrm>
        <a:prstGeom prst="straightConnector1">
          <a:avLst/>
        </a:prstGeom>
        <a:noFill/>
        <a:ln w="38100">
          <a:solidFill>
            <a:srgbClr val="000000"/>
          </a:solidFill>
          <a:round/>
          <a:headEnd type="triangle" w="lg" len="lg"/>
          <a:tailEnd type="triangle" w="lg" len="lg"/>
        </a:ln>
        <a:effectLst>
          <a:outerShdw blurRad="40000" dist="20000" dir="5400000" rotWithShape="0">
            <a:srgbClr val="000000">
              <a:alpha val="37999"/>
            </a:srgbClr>
          </a:outerShdw>
        </a:effectLst>
      </xdr:spPr>
    </xdr:cxnSp>
    <xdr:clientData/>
  </xdr:twoCellAnchor>
  <xdr:twoCellAnchor>
    <xdr:from>
      <xdr:col>1</xdr:col>
      <xdr:colOff>63500</xdr:colOff>
      <xdr:row>6</xdr:row>
      <xdr:rowOff>127000</xdr:rowOff>
    </xdr:from>
    <xdr:to>
      <xdr:col>1</xdr:col>
      <xdr:colOff>1879600</xdr:colOff>
      <xdr:row>6</xdr:row>
      <xdr:rowOff>127000</xdr:rowOff>
    </xdr:to>
    <xdr:cxnSp macro="">
      <xdr:nvCxnSpPr>
        <xdr:cNvPr id="50289" name="Connecteur droit avec flèche 6">
          <a:extLst>
            <a:ext uri="{FF2B5EF4-FFF2-40B4-BE49-F238E27FC236}">
              <a16:creationId xmlns:a16="http://schemas.microsoft.com/office/drawing/2014/main" id="{00000000-0008-0000-1000-000071C40000}"/>
            </a:ext>
          </a:extLst>
        </xdr:cNvPr>
        <xdr:cNvCxnSpPr>
          <a:cxnSpLocks noChangeShapeType="1"/>
        </xdr:cNvCxnSpPr>
      </xdr:nvCxnSpPr>
      <xdr:spPr bwMode="auto">
        <a:xfrm>
          <a:off x="952500" y="2743200"/>
          <a:ext cx="1816100" cy="0"/>
        </a:xfrm>
        <a:prstGeom prst="straightConnector1">
          <a:avLst/>
        </a:prstGeom>
        <a:noFill/>
        <a:ln w="38100">
          <a:solidFill>
            <a:srgbClr val="000000"/>
          </a:solidFill>
          <a:round/>
          <a:headEnd type="triangle" w="lg" len="lg"/>
          <a:tailEnd type="triangle" w="lg" len="lg"/>
        </a:ln>
        <a:effectLst>
          <a:outerShdw blurRad="40000" dist="20000" dir="5400000" rotWithShape="0">
            <a:srgbClr val="000000">
              <a:alpha val="37999"/>
            </a:srgbClr>
          </a:outerShdw>
        </a:effectLst>
      </xdr:spPr>
    </xdr:cxnSp>
    <xdr:clientData/>
  </xdr:twoCellAnchor>
  <xdr:twoCellAnchor>
    <xdr:from>
      <xdr:col>2</xdr:col>
      <xdr:colOff>165100</xdr:colOff>
      <xdr:row>9</xdr:row>
      <xdr:rowOff>127000</xdr:rowOff>
    </xdr:from>
    <xdr:to>
      <xdr:col>2</xdr:col>
      <xdr:colOff>165100</xdr:colOff>
      <xdr:row>9</xdr:row>
      <xdr:rowOff>723900</xdr:rowOff>
    </xdr:to>
    <xdr:cxnSp macro="">
      <xdr:nvCxnSpPr>
        <xdr:cNvPr id="50290" name="Connecteur droit avec flèche 7">
          <a:extLst>
            <a:ext uri="{FF2B5EF4-FFF2-40B4-BE49-F238E27FC236}">
              <a16:creationId xmlns:a16="http://schemas.microsoft.com/office/drawing/2014/main" id="{00000000-0008-0000-1000-000072C40000}"/>
            </a:ext>
          </a:extLst>
        </xdr:cNvPr>
        <xdr:cNvCxnSpPr>
          <a:cxnSpLocks noChangeShapeType="1"/>
        </xdr:cNvCxnSpPr>
      </xdr:nvCxnSpPr>
      <xdr:spPr bwMode="auto">
        <a:xfrm>
          <a:off x="3048000" y="7073900"/>
          <a:ext cx="0" cy="596900"/>
        </a:xfrm>
        <a:prstGeom prst="straightConnector1">
          <a:avLst/>
        </a:prstGeom>
        <a:noFill/>
        <a:ln w="38100">
          <a:solidFill>
            <a:srgbClr val="000000"/>
          </a:solidFill>
          <a:round/>
          <a:headEnd type="triangle" w="lg" len="lg"/>
          <a:tailEnd type="triangle" w="lg" len="lg"/>
        </a:ln>
        <a:effectLst>
          <a:outerShdw blurRad="40000" dist="20000" dir="5400000" rotWithShape="0">
            <a:srgbClr val="000000">
              <a:alpha val="37999"/>
            </a:srgbClr>
          </a:outerShdw>
        </a:effectLst>
      </xdr:spPr>
    </xdr:cxnSp>
    <xdr:clientData/>
  </xdr:twoCellAnchor>
  <xdr:twoCellAnchor>
    <xdr:from>
      <xdr:col>2</xdr:col>
      <xdr:colOff>292100</xdr:colOff>
      <xdr:row>7</xdr:row>
      <xdr:rowOff>88900</xdr:rowOff>
    </xdr:from>
    <xdr:to>
      <xdr:col>2</xdr:col>
      <xdr:colOff>292100</xdr:colOff>
      <xdr:row>7</xdr:row>
      <xdr:rowOff>2857500</xdr:rowOff>
    </xdr:to>
    <xdr:cxnSp macro="">
      <xdr:nvCxnSpPr>
        <xdr:cNvPr id="50291" name="Connecteur droit avec flèche 8">
          <a:extLst>
            <a:ext uri="{FF2B5EF4-FFF2-40B4-BE49-F238E27FC236}">
              <a16:creationId xmlns:a16="http://schemas.microsoft.com/office/drawing/2014/main" id="{00000000-0008-0000-1000-000073C40000}"/>
            </a:ext>
          </a:extLst>
        </xdr:cNvPr>
        <xdr:cNvCxnSpPr>
          <a:cxnSpLocks noChangeShapeType="1"/>
        </xdr:cNvCxnSpPr>
      </xdr:nvCxnSpPr>
      <xdr:spPr bwMode="auto">
        <a:xfrm>
          <a:off x="3175000" y="3568700"/>
          <a:ext cx="0" cy="2768600"/>
        </a:xfrm>
        <a:prstGeom prst="straightConnector1">
          <a:avLst/>
        </a:prstGeom>
        <a:noFill/>
        <a:ln w="38100">
          <a:solidFill>
            <a:srgbClr val="000000"/>
          </a:solidFill>
          <a:round/>
          <a:headEnd type="triangle" w="lg" len="lg"/>
          <a:tailEnd type="triangle" w="lg" len="lg"/>
        </a:ln>
        <a:effectLst>
          <a:outerShdw blurRad="40000" dist="20000" dir="5400000" rotWithShape="0">
            <a:srgbClr val="000000">
              <a:alpha val="37999"/>
            </a:srgbClr>
          </a:outerShdw>
        </a:effectLst>
      </xdr:spPr>
    </xdr:cxnSp>
    <xdr:clientData/>
  </xdr:twoCellAnchor>
  <xdr:twoCellAnchor>
    <xdr:from>
      <xdr:col>2</xdr:col>
      <xdr:colOff>177800</xdr:colOff>
      <xdr:row>4</xdr:row>
      <xdr:rowOff>25400</xdr:rowOff>
    </xdr:from>
    <xdr:to>
      <xdr:col>2</xdr:col>
      <xdr:colOff>190500</xdr:colOff>
      <xdr:row>4</xdr:row>
      <xdr:rowOff>635000</xdr:rowOff>
    </xdr:to>
    <xdr:cxnSp macro="">
      <xdr:nvCxnSpPr>
        <xdr:cNvPr id="50292" name="Connecteur droit avec flèche 9">
          <a:extLst>
            <a:ext uri="{FF2B5EF4-FFF2-40B4-BE49-F238E27FC236}">
              <a16:creationId xmlns:a16="http://schemas.microsoft.com/office/drawing/2014/main" id="{00000000-0008-0000-1000-000074C40000}"/>
            </a:ext>
          </a:extLst>
        </xdr:cNvPr>
        <xdr:cNvCxnSpPr>
          <a:cxnSpLocks noChangeShapeType="1"/>
        </xdr:cNvCxnSpPr>
      </xdr:nvCxnSpPr>
      <xdr:spPr bwMode="auto">
        <a:xfrm flipV="1">
          <a:off x="3060700" y="1219200"/>
          <a:ext cx="12700" cy="609600"/>
        </a:xfrm>
        <a:prstGeom prst="straightConnector1">
          <a:avLst/>
        </a:prstGeom>
        <a:noFill/>
        <a:ln w="38100">
          <a:solidFill>
            <a:srgbClr val="000000"/>
          </a:solidFill>
          <a:round/>
          <a:headEnd type="triangle" w="lg" len="lg"/>
          <a:tailEnd type="triangle" w="lg" len="lg"/>
        </a:ln>
        <a:effectLst>
          <a:outerShdw blurRad="40000" dist="20000" dir="5400000" rotWithShape="0">
            <a:srgbClr val="000000">
              <a:alpha val="37999"/>
            </a:srgbClr>
          </a:outerShdw>
        </a:effectLst>
      </xdr:spPr>
    </xdr:cxnSp>
    <xdr:clientData/>
  </xdr:twoCellAnchor>
  <xdr:twoCellAnchor>
    <xdr:from>
      <xdr:col>3</xdr:col>
      <xdr:colOff>330200</xdr:colOff>
      <xdr:row>10</xdr:row>
      <xdr:rowOff>25400</xdr:rowOff>
    </xdr:from>
    <xdr:to>
      <xdr:col>4</xdr:col>
      <xdr:colOff>927100</xdr:colOff>
      <xdr:row>11</xdr:row>
      <xdr:rowOff>279400</xdr:rowOff>
    </xdr:to>
    <xdr:cxnSp macro="">
      <xdr:nvCxnSpPr>
        <xdr:cNvPr id="50293" name="Forme 40">
          <a:extLst>
            <a:ext uri="{FF2B5EF4-FFF2-40B4-BE49-F238E27FC236}">
              <a16:creationId xmlns:a16="http://schemas.microsoft.com/office/drawing/2014/main" id="{00000000-0008-0000-1000-000075C40000}"/>
            </a:ext>
          </a:extLst>
        </xdr:cNvPr>
        <xdr:cNvCxnSpPr>
          <a:cxnSpLocks noChangeShapeType="1"/>
          <a:stCxn id="0" idx="2"/>
        </xdr:cNvCxnSpPr>
      </xdr:nvCxnSpPr>
      <xdr:spPr bwMode="auto">
        <a:xfrm rot="5400000">
          <a:off x="6115050" y="6762750"/>
          <a:ext cx="495300" cy="2641600"/>
        </a:xfrm>
        <a:prstGeom prst="bentConnector2">
          <a:avLst/>
        </a:prstGeom>
        <a:noFill/>
        <a:ln w="25400">
          <a:solidFill>
            <a:srgbClr val="000000"/>
          </a:solidFill>
          <a:miter lim="800000"/>
          <a:headEnd type="oval" w="med" len="med"/>
          <a:tailEnd type="arrow" w="med" len="med"/>
        </a:ln>
        <a:effectLst>
          <a:outerShdw blurRad="40000" dist="20000" dir="5400000" rotWithShape="0">
            <a:srgbClr val="000000">
              <a:alpha val="37999"/>
            </a:srgbClr>
          </a:outerShdw>
        </a:effectLst>
      </xdr:spPr>
    </xdr:cxnSp>
    <xdr:clientData/>
  </xdr:twoCellAnchor>
  <xdr:twoCellAnchor>
    <xdr:from>
      <xdr:col>3</xdr:col>
      <xdr:colOff>88900</xdr:colOff>
      <xdr:row>8</xdr:row>
      <xdr:rowOff>215900</xdr:rowOff>
    </xdr:from>
    <xdr:to>
      <xdr:col>4</xdr:col>
      <xdr:colOff>812800</xdr:colOff>
      <xdr:row>9</xdr:row>
      <xdr:rowOff>241300</xdr:rowOff>
    </xdr:to>
    <xdr:cxnSp macro="">
      <xdr:nvCxnSpPr>
        <xdr:cNvPr id="50294" name="Forme 44">
          <a:extLst>
            <a:ext uri="{FF2B5EF4-FFF2-40B4-BE49-F238E27FC236}">
              <a16:creationId xmlns:a16="http://schemas.microsoft.com/office/drawing/2014/main" id="{00000000-0008-0000-1000-000076C40000}"/>
            </a:ext>
          </a:extLst>
        </xdr:cNvPr>
        <xdr:cNvCxnSpPr>
          <a:cxnSpLocks noChangeShapeType="1"/>
        </xdr:cNvCxnSpPr>
      </xdr:nvCxnSpPr>
      <xdr:spPr bwMode="auto">
        <a:xfrm rot="10800000">
          <a:off x="4800600" y="6629400"/>
          <a:ext cx="2768600" cy="558800"/>
        </a:xfrm>
        <a:prstGeom prst="bentConnector3">
          <a:avLst>
            <a:gd name="adj1" fmla="val 0"/>
          </a:avLst>
        </a:prstGeom>
        <a:noFill/>
        <a:ln w="25400">
          <a:solidFill>
            <a:srgbClr val="000000"/>
          </a:solidFill>
          <a:miter lim="800000"/>
          <a:headEnd type="oval" w="med" len="med"/>
          <a:tailEnd type="arrow" w="med" len="med"/>
        </a:ln>
        <a:effectLst>
          <a:outerShdw blurRad="40000" dist="20000" dir="5400000" rotWithShape="0">
            <a:srgbClr val="000000">
              <a:alpha val="37999"/>
            </a:srgbClr>
          </a:outerShdw>
        </a:effectLst>
      </xdr:spPr>
    </xdr:cxnSp>
    <xdr:clientData/>
  </xdr:twoCellAnchor>
  <xdr:twoCellAnchor>
    <xdr:from>
      <xdr:col>7</xdr:col>
      <xdr:colOff>76200</xdr:colOff>
      <xdr:row>7</xdr:row>
      <xdr:rowOff>571500</xdr:rowOff>
    </xdr:from>
    <xdr:to>
      <xdr:col>9</xdr:col>
      <xdr:colOff>1778000</xdr:colOff>
      <xdr:row>9</xdr:row>
      <xdr:rowOff>558800</xdr:rowOff>
    </xdr:to>
    <xdr:sp macro="" textlink="">
      <xdr:nvSpPr>
        <xdr:cNvPr id="3" name="ZoneTexte 2">
          <a:extLst>
            <a:ext uri="{FF2B5EF4-FFF2-40B4-BE49-F238E27FC236}">
              <a16:creationId xmlns:a16="http://schemas.microsoft.com/office/drawing/2014/main" id="{00000000-0008-0000-1000-000003000000}"/>
            </a:ext>
          </a:extLst>
        </xdr:cNvPr>
        <xdr:cNvSpPr txBox="1"/>
      </xdr:nvSpPr>
      <xdr:spPr>
        <a:xfrm>
          <a:off x="10833100" y="4051300"/>
          <a:ext cx="5156200" cy="3454400"/>
        </a:xfrm>
        <a:prstGeom prst="rect">
          <a:avLst/>
        </a:prstGeom>
        <a:solidFill>
          <a:schemeClr val="lt1"/>
        </a:solidFill>
        <a:ln w="9525" cmpd="sng">
          <a:solidFill>
            <a:schemeClr val="tx1"/>
          </a:solidFill>
        </a:ln>
        <a:effectLst>
          <a:innerShdw blurRad="63500" dist="50800" dir="13500000">
            <a:prstClr val="black">
              <a:alpha val="50000"/>
            </a:prstClr>
          </a:innerShdw>
          <a:softEdge rad="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fr-FR" sz="1200" b="0" i="0" strike="noStrike">
              <a:solidFill>
                <a:srgbClr val="000000"/>
              </a:solidFill>
              <a:latin typeface="Arial"/>
              <a:ea typeface="Arial"/>
              <a:cs typeface="Arial"/>
            </a:rPr>
            <a:t>	        </a:t>
          </a:r>
        </a:p>
        <a:p>
          <a:pPr algn="l" rtl="0">
            <a:defRPr sz="1000"/>
          </a:pPr>
          <a:r>
            <a:rPr lang="fr-FR" sz="1200" b="1" i="0" strike="noStrike">
              <a:solidFill>
                <a:srgbClr val="000000"/>
              </a:solidFill>
              <a:latin typeface="Arial"/>
              <a:ea typeface="Arial"/>
              <a:cs typeface="Arial"/>
            </a:rPr>
            <a:t>	         TAILLES DES CAPTEURS </a:t>
          </a:r>
        </a:p>
        <a:p>
          <a:pPr algn="l" rtl="0">
            <a:defRPr sz="1000"/>
          </a:pPr>
          <a:endParaRPr lang="fr-FR" sz="1200" b="1" i="0" strike="noStrike">
            <a:solidFill>
              <a:srgbClr val="000000"/>
            </a:solidFill>
            <a:latin typeface="Arial"/>
            <a:ea typeface="Arial"/>
            <a:cs typeface="Arial"/>
          </a:endParaRPr>
        </a:p>
        <a:p>
          <a:pPr algn="l" rtl="0">
            <a:defRPr sz="1000"/>
          </a:pPr>
          <a:r>
            <a:rPr lang="fr-FR" sz="1200" b="0" i="0" strike="noStrike">
              <a:solidFill>
                <a:srgbClr val="000000"/>
              </a:solidFill>
              <a:latin typeface="Arial"/>
              <a:ea typeface="Arial"/>
              <a:cs typeface="Arial"/>
            </a:rPr>
            <a:t>	Moyen format : 	40,4 x 53,7 mm </a:t>
          </a:r>
        </a:p>
        <a:p>
          <a:pPr algn="l" rtl="0">
            <a:defRPr sz="1000"/>
          </a:pPr>
          <a:r>
            <a:rPr lang="fr-FR" sz="1200" b="0" i="0" strike="noStrike">
              <a:solidFill>
                <a:srgbClr val="000000"/>
              </a:solidFill>
              <a:latin typeface="Arial"/>
              <a:ea typeface="Arial"/>
              <a:cs typeface="Arial"/>
            </a:rPr>
            <a:t>			33 x 44 mm	</a:t>
          </a:r>
        </a:p>
        <a:p>
          <a:pPr algn="l" rtl="0">
            <a:defRPr sz="1000"/>
          </a:pPr>
          <a:r>
            <a:rPr lang="fr-FR" sz="1200" b="0" i="0" strike="noStrike">
              <a:solidFill>
                <a:srgbClr val="000000"/>
              </a:solidFill>
              <a:latin typeface="Arial"/>
              <a:ea typeface="Arial"/>
              <a:cs typeface="Arial"/>
            </a:rPr>
            <a:t>	Plein format :		24 x 36 mm	</a:t>
          </a:r>
        </a:p>
        <a:p>
          <a:pPr algn="l" rtl="0">
            <a:defRPr sz="1000"/>
          </a:pPr>
          <a:r>
            <a:rPr lang="fr-FR" sz="1200" b="0" i="0" strike="noStrike">
              <a:solidFill>
                <a:srgbClr val="000000"/>
              </a:solidFill>
              <a:latin typeface="Arial"/>
              <a:ea typeface="Arial"/>
              <a:cs typeface="Arial"/>
            </a:rPr>
            <a:t>	APS-H :		17,9 x 26,6 mm</a:t>
          </a:r>
        </a:p>
        <a:p>
          <a:pPr algn="l" rtl="0">
            <a:defRPr sz="1000"/>
          </a:pPr>
          <a:r>
            <a:rPr lang="fr-FR" sz="1200" b="0" i="0" strike="noStrike">
              <a:solidFill>
                <a:srgbClr val="000000"/>
              </a:solidFill>
              <a:latin typeface="Arial"/>
              <a:ea typeface="Arial"/>
              <a:cs typeface="Arial"/>
            </a:rPr>
            <a:t>	APS-C : 		15,7 x 23,7 mm</a:t>
          </a:r>
        </a:p>
        <a:p>
          <a:pPr algn="l" rtl="0">
            <a:defRPr sz="1000"/>
          </a:pPr>
          <a:r>
            <a:rPr lang="fr-FR" sz="1200" b="0" i="0" strike="noStrike">
              <a:solidFill>
                <a:srgbClr val="000000"/>
              </a:solidFill>
              <a:latin typeface="Arial"/>
              <a:ea typeface="Arial"/>
              <a:cs typeface="Arial"/>
            </a:rPr>
            <a:t>	APS-C Canon 	14,9 x 22,3 mm</a:t>
          </a:r>
        </a:p>
        <a:p>
          <a:pPr algn="l" rtl="0">
            <a:defRPr sz="1000"/>
          </a:pPr>
          <a:r>
            <a:rPr lang="fr-FR" sz="1200" b="0" i="0" strike="noStrike">
              <a:solidFill>
                <a:srgbClr val="000000"/>
              </a:solidFill>
              <a:latin typeface="Arial"/>
              <a:ea typeface="Arial"/>
              <a:cs typeface="Arial"/>
            </a:rPr>
            <a:t>	4/3		8,8 x 17,3 mm</a:t>
          </a:r>
        </a:p>
        <a:p>
          <a:pPr algn="l" rtl="0">
            <a:defRPr sz="1000"/>
          </a:pPr>
          <a:r>
            <a:rPr lang="fr-FR" sz="1200" b="0" i="0" strike="noStrike">
              <a:solidFill>
                <a:srgbClr val="000000"/>
              </a:solidFill>
              <a:latin typeface="Arial"/>
              <a:ea typeface="Arial"/>
              <a:cs typeface="Arial"/>
            </a:rPr>
            <a:t>	Micro 4/3		13 x 17,3 mm</a:t>
          </a:r>
        </a:p>
        <a:p>
          <a:pPr algn="l" rtl="0">
            <a:defRPr sz="1000"/>
          </a:pPr>
          <a:r>
            <a:rPr lang="fr-FR" sz="1200" b="0" i="0" strike="noStrike">
              <a:solidFill>
                <a:srgbClr val="000000"/>
              </a:solidFill>
              <a:latin typeface="Arial"/>
              <a:ea typeface="Arial"/>
              <a:cs typeface="Arial"/>
            </a:rPr>
            <a:t>	1"		8,8 x 13,2 mm</a:t>
          </a:r>
        </a:p>
        <a:p>
          <a:pPr algn="l" rtl="0">
            <a:defRPr sz="1000"/>
          </a:pPr>
          <a:r>
            <a:rPr lang="fr-FR" sz="1200" b="0" i="0" strike="noStrike">
              <a:solidFill>
                <a:srgbClr val="000000"/>
              </a:solidFill>
              <a:latin typeface="Arial"/>
              <a:ea typeface="Arial"/>
              <a:cs typeface="Arial"/>
            </a:rPr>
            <a:t>	1/1,7"		5,7 x 7,6 mm</a:t>
          </a:r>
        </a:p>
        <a:p>
          <a:pPr algn="l" rtl="0">
            <a:defRPr sz="1000"/>
          </a:pPr>
          <a:r>
            <a:rPr lang="fr-FR" sz="1200" b="0" i="0" strike="noStrike">
              <a:solidFill>
                <a:srgbClr val="000000"/>
              </a:solidFill>
              <a:latin typeface="Arial"/>
              <a:ea typeface="Arial"/>
              <a:cs typeface="Arial"/>
            </a:rPr>
            <a:t>	1/2,3"		4,5 x 6,2 mm	</a:t>
          </a:r>
        </a:p>
        <a:p>
          <a:pPr algn="l" rtl="0">
            <a:defRPr sz="1000"/>
          </a:pPr>
          <a:r>
            <a:rPr lang="fr-FR" sz="1200" b="0" i="0" strike="noStrike">
              <a:solidFill>
                <a:srgbClr val="000000"/>
              </a:solidFill>
              <a:latin typeface="Arial"/>
              <a:ea typeface="Arial"/>
              <a:cs typeface="Arial"/>
            </a:rPr>
            <a:t>	1/3"		3,6 x 4,8 mm	</a:t>
          </a:r>
        </a:p>
      </xdr:txBody>
    </xdr:sp>
    <xdr:clientData/>
  </xdr:twoCellAnchor>
  <xdr:twoCellAnchor editAs="oneCell">
    <xdr:from>
      <xdr:col>2</xdr:col>
      <xdr:colOff>38100</xdr:colOff>
      <xdr:row>5</xdr:row>
      <xdr:rowOff>0</xdr:rowOff>
    </xdr:from>
    <xdr:to>
      <xdr:col>2</xdr:col>
      <xdr:colOff>1778000</xdr:colOff>
      <xdr:row>5</xdr:row>
      <xdr:rowOff>736600</xdr:rowOff>
    </xdr:to>
    <xdr:pic>
      <xdr:nvPicPr>
        <xdr:cNvPr id="16" name="Image 15" descr="Capture d’écran 2020-05-26 à 20.31.18.png">
          <a:extLst>
            <a:ext uri="{FF2B5EF4-FFF2-40B4-BE49-F238E27FC236}">
              <a16:creationId xmlns:a16="http://schemas.microsoft.com/office/drawing/2014/main" id="{00000000-0008-0000-1000-000010000000}"/>
            </a:ext>
          </a:extLst>
        </xdr:cNvPr>
        <xdr:cNvPicPr>
          <a:picLocks noChangeAspect="1"/>
        </xdr:cNvPicPr>
      </xdr:nvPicPr>
      <xdr:blipFill>
        <a:blip xmlns:r="http://schemas.openxmlformats.org/officeDocument/2006/relationships" r:embed="rId2"/>
        <a:stretch>
          <a:fillRect/>
        </a:stretch>
      </xdr:blipFill>
      <xdr:spPr>
        <a:xfrm>
          <a:off x="2921000" y="1854200"/>
          <a:ext cx="1739900" cy="736600"/>
        </a:xfrm>
        <a:prstGeom prst="rect">
          <a:avLst/>
        </a:prstGeom>
        <a:noFill/>
        <a:ln>
          <a:noFill/>
        </a:ln>
        <a:effectLst>
          <a:outerShdw blurRad="111125" dist="546100" dir="20880000" sx="83000" sy="83000" algn="tl" rotWithShape="0">
            <a:srgbClr val="000000">
              <a:alpha val="46000"/>
            </a:srgbClr>
          </a:outerShdw>
        </a:effectLst>
      </xdr:spPr>
    </xdr:pic>
    <xdr:clientData/>
  </xdr:twoCellAnchor>
  <xdr:twoCellAnchor editAs="oneCell">
    <xdr:from>
      <xdr:col>11</xdr:col>
      <xdr:colOff>368300</xdr:colOff>
      <xdr:row>8</xdr:row>
      <xdr:rowOff>190500</xdr:rowOff>
    </xdr:from>
    <xdr:to>
      <xdr:col>11</xdr:col>
      <xdr:colOff>1201106</xdr:colOff>
      <xdr:row>9</xdr:row>
      <xdr:rowOff>406400</xdr:rowOff>
    </xdr:to>
    <xdr:pic>
      <xdr:nvPicPr>
        <xdr:cNvPr id="13" name="Image 12" descr="attention-sign-vector-id587200944.jpg">
          <a:extLst>
            <a:ext uri="{FF2B5EF4-FFF2-40B4-BE49-F238E27FC236}">
              <a16:creationId xmlns:a16="http://schemas.microsoft.com/office/drawing/2014/main" id="{00000000-0008-0000-1000-00000D000000}"/>
            </a:ext>
          </a:extLst>
        </xdr:cNvPr>
        <xdr:cNvPicPr>
          <a:picLocks noChangeAspect="1"/>
        </xdr:cNvPicPr>
      </xdr:nvPicPr>
      <xdr:blipFill>
        <a:blip xmlns:r="http://schemas.openxmlformats.org/officeDocument/2006/relationships" r:embed="rId3"/>
        <a:stretch>
          <a:fillRect/>
        </a:stretch>
      </xdr:blipFill>
      <xdr:spPr>
        <a:xfrm>
          <a:off x="16471900" y="6604000"/>
          <a:ext cx="832806" cy="749300"/>
        </a:xfrm>
        <a:prstGeom prst="rect">
          <a:avLst/>
        </a:prstGeom>
        <a:ln>
          <a:solidFill>
            <a:schemeClr val="tx1"/>
          </a:solidFill>
        </a:ln>
        <a:effectLst>
          <a:outerShdw blurRad="50800" dist="38100" dir="2700000" algn="tl" rotWithShape="0">
            <a:srgbClr val="000000">
              <a:alpha val="43000"/>
            </a:srgbClr>
          </a:outerShdw>
        </a:effec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76200</xdr:colOff>
      <xdr:row>6</xdr:row>
      <xdr:rowOff>25400</xdr:rowOff>
    </xdr:from>
    <xdr:to>
      <xdr:col>1</xdr:col>
      <xdr:colOff>1727200</xdr:colOff>
      <xdr:row>39</xdr:row>
      <xdr:rowOff>76200</xdr:rowOff>
    </xdr:to>
    <xdr:graphicFrame macro="">
      <xdr:nvGraphicFramePr>
        <xdr:cNvPr id="51211" name="Graphique 11">
          <a:extLst>
            <a:ext uri="{FF2B5EF4-FFF2-40B4-BE49-F238E27FC236}">
              <a16:creationId xmlns:a16="http://schemas.microsoft.com/office/drawing/2014/main" id="{00000000-0008-0000-1300-00000BC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hris/Library/Application%20Support/Microsoft/Office/Office%202011%20AutoRecovery/_archives%20orange/_archives%20orange/DEVIS1.xlt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s passé"/>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1" Type="http://schemas.openxmlformats.org/officeDocument/2006/relationships/hyperlink" Target="mailto:delamarre.gpla@gmail.com" TargetMode="Externa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6:A92"/>
  <sheetViews>
    <sheetView showGridLines="0" view="pageLayout" topLeftCell="A2" workbookViewId="0">
      <selection activeCell="J73" sqref="J73:J74"/>
    </sheetView>
  </sheetViews>
  <sheetFormatPr baseColWidth="10" defaultRowHeight="18"/>
  <cols>
    <col min="2" max="6" width="8.125" customWidth="1"/>
    <col min="7" max="7" width="1.125" customWidth="1"/>
    <col min="8" max="8" width="10.25" customWidth="1"/>
    <col min="9" max="9" width="6" customWidth="1"/>
    <col min="10" max="10" width="26.75" customWidth="1"/>
    <col min="11" max="11" width="16.875" customWidth="1"/>
  </cols>
  <sheetData>
    <row r="56" ht="5" customHeight="1"/>
    <row r="57" ht="3" hidden="1" customHeight="1"/>
    <row r="58" ht="28" customHeight="1"/>
    <row r="81" ht="31" customHeight="1"/>
    <row r="90" ht="4" customHeight="1"/>
    <row r="91" hidden="1"/>
    <row r="92" ht="4" customHeight="1"/>
  </sheetData>
  <phoneticPr fontId="50" type="noConversion"/>
  <pageMargins left="0.90999999999999992" right="0.78000000000000014" top="0.48000000000000004" bottom="0.49" header="0.38" footer="0.62"/>
  <pageSetup paperSize="10" scale="61" orientation="portrait" horizontalDpi="4294967292" verticalDpi="4294967292"/>
  <drawing r:id="rId1"/>
  <extLst>
    <ext xmlns:mx="http://schemas.microsoft.com/office/mac/excel/2008/main" uri="http://schemas.microsoft.com/office/mac/excel/2008/main">
      <mx:PLV Mode="1"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42"/>
  <sheetViews>
    <sheetView showGridLines="0" view="pageLayout" zoomScale="75" zoomScaleNormal="75" zoomScalePageLayoutView="75" workbookViewId="0">
      <selection activeCell="N5" sqref="N5:O5"/>
    </sheetView>
  </sheetViews>
  <sheetFormatPr baseColWidth="10" defaultRowHeight="12"/>
  <cols>
    <col min="1" max="1" width="10.625" style="23"/>
    <col min="2" max="2" width="7" style="23" customWidth="1"/>
    <col min="3" max="3" width="23.75" style="23" customWidth="1"/>
    <col min="4" max="15" width="18.125" style="23" customWidth="1"/>
    <col min="16" max="16" width="20.5" style="23" customWidth="1"/>
    <col min="17" max="17" width="7" style="23" customWidth="1"/>
    <col min="18" max="18" width="11.625" style="23" customWidth="1"/>
    <col min="19" max="19" width="9.25" style="23" customWidth="1"/>
    <col min="20" max="16384" width="10.625" style="23"/>
  </cols>
  <sheetData>
    <row r="1" spans="1:28" ht="35" customHeight="1" thickBot="1">
      <c r="A1" s="2597" t="s">
        <v>283</v>
      </c>
      <c r="B1" s="2293" t="s">
        <v>642</v>
      </c>
      <c r="C1" s="2545"/>
      <c r="D1" s="2545"/>
      <c r="E1" s="2545"/>
      <c r="F1" s="2545"/>
      <c r="G1" s="2545"/>
      <c r="H1" s="2545"/>
      <c r="I1" s="2545"/>
      <c r="J1" s="2545"/>
      <c r="K1" s="2545"/>
      <c r="L1" s="2545"/>
      <c r="M1" s="2545"/>
      <c r="N1" s="2545"/>
      <c r="O1" s="2545"/>
      <c r="P1" s="2550"/>
    </row>
    <row r="2" spans="1:28" ht="47" customHeight="1">
      <c r="A2" s="2598"/>
      <c r="B2" s="602"/>
      <c r="C2" s="2601" t="s">
        <v>961</v>
      </c>
      <c r="D2" s="2604" t="s">
        <v>1050</v>
      </c>
      <c r="E2" s="2605"/>
      <c r="F2" s="2608" t="s">
        <v>1045</v>
      </c>
      <c r="G2" s="2609"/>
      <c r="H2" s="2609"/>
      <c r="I2" s="2609"/>
      <c r="J2" s="2609"/>
      <c r="K2" s="2609"/>
      <c r="L2" s="2609"/>
      <c r="M2" s="2609"/>
      <c r="N2" s="2609"/>
      <c r="O2" s="2609"/>
      <c r="P2" s="2610"/>
    </row>
    <row r="3" spans="1:28" s="31" customFormat="1" ht="20" customHeight="1">
      <c r="A3" s="2598"/>
      <c r="B3" s="603"/>
      <c r="C3" s="2602"/>
      <c r="D3" s="2606"/>
      <c r="E3" s="2605"/>
      <c r="F3" s="2611" t="s">
        <v>647</v>
      </c>
      <c r="G3" s="2611"/>
      <c r="H3" s="2611" t="str">
        <f>F3</f>
        <v>Coefficient</v>
      </c>
      <c r="I3" s="2611"/>
      <c r="J3" s="2611" t="str">
        <f>F3</f>
        <v>Coefficient</v>
      </c>
      <c r="K3" s="2611"/>
      <c r="L3" s="2611" t="str">
        <f>F3</f>
        <v>Coefficient</v>
      </c>
      <c r="M3" s="2611"/>
      <c r="N3" s="2611" t="str">
        <f>F3</f>
        <v>Coefficient</v>
      </c>
      <c r="O3" s="2611"/>
      <c r="P3" s="912"/>
    </row>
    <row r="4" spans="1:28" s="31" customFormat="1" ht="26" customHeight="1" thickBot="1">
      <c r="A4" s="2598"/>
      <c r="B4" s="603"/>
      <c r="C4" s="2603"/>
      <c r="D4" s="2606"/>
      <c r="E4" s="2605"/>
      <c r="F4" s="2607">
        <v>1.5</v>
      </c>
      <c r="G4" s="2607"/>
      <c r="H4" s="2607">
        <v>3</v>
      </c>
      <c r="I4" s="2607"/>
      <c r="J4" s="2607">
        <v>5</v>
      </c>
      <c r="K4" s="2607"/>
      <c r="L4" s="2607">
        <v>6</v>
      </c>
      <c r="M4" s="2607"/>
      <c r="N4" s="2607">
        <v>12</v>
      </c>
      <c r="O4" s="2607"/>
      <c r="P4" s="178"/>
    </row>
    <row r="5" spans="1:28" s="31" customFormat="1" ht="29" customHeight="1" thickTop="1" thickBot="1">
      <c r="A5" s="2598"/>
      <c r="B5" s="603"/>
      <c r="C5" s="906">
        <v>0.7</v>
      </c>
      <c r="D5" s="2593" t="s">
        <v>631</v>
      </c>
      <c r="E5" s="2587"/>
      <c r="F5" s="2592" t="s">
        <v>134</v>
      </c>
      <c r="G5" s="2600"/>
      <c r="H5" s="2586" t="s">
        <v>390</v>
      </c>
      <c r="I5" s="2587"/>
      <c r="J5" s="2592" t="s">
        <v>368</v>
      </c>
      <c r="K5" s="2600"/>
      <c r="L5" s="2586" t="s">
        <v>1253</v>
      </c>
      <c r="M5" s="2587"/>
      <c r="N5" s="2592" t="s">
        <v>1252</v>
      </c>
      <c r="O5" s="2593"/>
      <c r="P5" s="596" t="s">
        <v>973</v>
      </c>
      <c r="Q5" s="2588" t="s">
        <v>1013</v>
      </c>
      <c r="R5" s="2583" t="s">
        <v>145</v>
      </c>
    </row>
    <row r="6" spans="1:28" s="31" customFormat="1" ht="29" customHeight="1">
      <c r="A6" s="2598"/>
      <c r="B6" s="603"/>
      <c r="C6" s="610"/>
      <c r="D6" s="913" t="s">
        <v>194</v>
      </c>
      <c r="E6" s="914" t="s">
        <v>164</v>
      </c>
      <c r="F6" s="1302" t="str">
        <f t="shared" ref="F6:O6" si="0">D6</f>
        <v>≤10 photos</v>
      </c>
      <c r="G6" s="1303" t="str">
        <f t="shared" si="0"/>
        <v>≤ 50 photos</v>
      </c>
      <c r="H6" s="1304" t="str">
        <f t="shared" si="0"/>
        <v>≤10 photos</v>
      </c>
      <c r="I6" s="1305" t="str">
        <f t="shared" si="0"/>
        <v>≤ 50 photos</v>
      </c>
      <c r="J6" s="1302" t="str">
        <f t="shared" si="0"/>
        <v>≤10 photos</v>
      </c>
      <c r="K6" s="1303" t="str">
        <f t="shared" si="0"/>
        <v>≤ 50 photos</v>
      </c>
      <c r="L6" s="1304" t="str">
        <f t="shared" si="0"/>
        <v>≤10 photos</v>
      </c>
      <c r="M6" s="1305" t="str">
        <f t="shared" si="0"/>
        <v>≤ 50 photos</v>
      </c>
      <c r="N6" s="1302" t="str">
        <f t="shared" si="0"/>
        <v>≤10 photos</v>
      </c>
      <c r="O6" s="1306" t="str">
        <f t="shared" si="0"/>
        <v>≤ 50 photos</v>
      </c>
      <c r="P6" s="1295" t="str">
        <f>IF(D10=3,D5,IF(F10=4,F5,IF(H10=5,H5,IF(J10=6,J5,IF(L10=7,L5,IF(N10=8,N5,""))))))</f>
        <v/>
      </c>
      <c r="Q6" s="2589"/>
      <c r="R6" s="2584"/>
    </row>
    <row r="7" spans="1:28" s="31" customFormat="1" ht="36">
      <c r="A7" s="2598"/>
      <c r="B7" s="603"/>
      <c r="C7" s="907" t="s">
        <v>250</v>
      </c>
      <c r="D7" s="953"/>
      <c r="E7" s="954"/>
      <c r="F7" s="955"/>
      <c r="G7" s="956"/>
      <c r="H7" s="957"/>
      <c r="I7" s="954"/>
      <c r="J7" s="955"/>
      <c r="K7" s="956"/>
      <c r="L7" s="957"/>
      <c r="M7" s="954"/>
      <c r="N7" s="955"/>
      <c r="O7" s="958"/>
      <c r="P7" s="1296">
        <f>IF(SUM(D9:O9)=1,D6,IF(SUM(D9:O9)=2,E6,0))</f>
        <v>0</v>
      </c>
      <c r="Q7" s="2589"/>
      <c r="R7" s="2585"/>
    </row>
    <row r="8" spans="1:28" s="31" customFormat="1" ht="17" hidden="1">
      <c r="A8" s="2598"/>
      <c r="B8" s="603"/>
      <c r="C8" s="908"/>
      <c r="D8" s="56">
        <f t="shared" ref="D8:O8" si="1">IF(D7="x",D11,0)</f>
        <v>0</v>
      </c>
      <c r="E8" s="56">
        <f t="shared" si="1"/>
        <v>0</v>
      </c>
      <c r="F8" s="56">
        <f t="shared" si="1"/>
        <v>0</v>
      </c>
      <c r="G8" s="439">
        <f t="shared" si="1"/>
        <v>0</v>
      </c>
      <c r="H8" s="440">
        <f t="shared" si="1"/>
        <v>0</v>
      </c>
      <c r="I8" s="441">
        <f t="shared" si="1"/>
        <v>0</v>
      </c>
      <c r="J8" s="373">
        <f t="shared" si="1"/>
        <v>0</v>
      </c>
      <c r="K8" s="374">
        <f t="shared" si="1"/>
        <v>0</v>
      </c>
      <c r="L8" s="440">
        <f t="shared" si="1"/>
        <v>0</v>
      </c>
      <c r="M8" s="441">
        <f t="shared" si="1"/>
        <v>0</v>
      </c>
      <c r="N8" s="373">
        <f t="shared" si="1"/>
        <v>0</v>
      </c>
      <c r="O8" s="57">
        <f t="shared" si="1"/>
        <v>0</v>
      </c>
      <c r="P8" s="1297"/>
      <c r="Q8" s="2589"/>
    </row>
    <row r="9" spans="1:28" s="31" customFormat="1" ht="17" hidden="1">
      <c r="A9" s="2598"/>
      <c r="B9" s="603"/>
      <c r="C9" s="908"/>
      <c r="D9" s="928">
        <f>IF(D7="x",1,0)</f>
        <v>0</v>
      </c>
      <c r="E9" s="928">
        <f>IF(E7="x",2,0)</f>
        <v>0</v>
      </c>
      <c r="F9" s="928">
        <f>IF(F7="x",1,0)</f>
        <v>0</v>
      </c>
      <c r="G9" s="928">
        <f>IF(G7="x",2,0)</f>
        <v>0</v>
      </c>
      <c r="H9" s="928">
        <f>IF(H7="x",1,0)</f>
        <v>0</v>
      </c>
      <c r="I9" s="928">
        <f>IF(I7="x",2,0)</f>
        <v>0</v>
      </c>
      <c r="J9" s="928">
        <f>IF(J7="x",1,0)</f>
        <v>0</v>
      </c>
      <c r="K9" s="928">
        <f>IF(K7="x",2,0)</f>
        <v>0</v>
      </c>
      <c r="L9" s="928">
        <f>IF(L7="x",1,0)</f>
        <v>0</v>
      </c>
      <c r="M9" s="928">
        <f>IF(M7="x",2,0)</f>
        <v>0</v>
      </c>
      <c r="N9" s="928">
        <f>IF(N7="x",1,0)</f>
        <v>0</v>
      </c>
      <c r="O9" s="928">
        <f>IF(O7="x",2,0)</f>
        <v>0</v>
      </c>
      <c r="P9" s="1298"/>
      <c r="Q9" s="2589"/>
    </row>
    <row r="10" spans="1:28" s="31" customFormat="1" ht="17" hidden="1">
      <c r="A10" s="2598"/>
      <c r="B10" s="603"/>
      <c r="C10" s="908"/>
      <c r="D10" s="2558">
        <f>IF((D9+E9)&gt;0,3,0)</f>
        <v>0</v>
      </c>
      <c r="E10" s="2559"/>
      <c r="F10" s="2558">
        <f>IF((F9+G9)&gt;0,4,0)</f>
        <v>0</v>
      </c>
      <c r="G10" s="2559"/>
      <c r="H10" s="2558">
        <f>IF((H9+I9)&gt;0,5,0)</f>
        <v>0</v>
      </c>
      <c r="I10" s="2559"/>
      <c r="J10" s="2558">
        <f>IF((J9+K9)&gt;0,6,0)</f>
        <v>0</v>
      </c>
      <c r="K10" s="2559"/>
      <c r="L10" s="2558">
        <f>IF((L9+M9)&gt;0,7,0)</f>
        <v>0</v>
      </c>
      <c r="M10" s="2559"/>
      <c r="N10" s="2558">
        <f>IF((N9+O9)&gt;0,8,0)</f>
        <v>0</v>
      </c>
      <c r="O10" s="2559"/>
      <c r="P10" s="1298"/>
      <c r="Q10" s="2589"/>
    </row>
    <row r="11" spans="1:28" s="31" customFormat="1" ht="37" thickBot="1">
      <c r="A11" s="2598"/>
      <c r="B11" s="604"/>
      <c r="C11" s="909" t="str">
        <f>IF(C6="x","Diffusion Print de base France seule (voir CGV)","Diffusion print de base (voir CGV)")</f>
        <v>Diffusion print de base (voir CGV)</v>
      </c>
      <c r="D11" s="537">
        <v>50</v>
      </c>
      <c r="E11" s="538">
        <v>150</v>
      </c>
      <c r="F11" s="1307">
        <f>$D$11*F4</f>
        <v>75</v>
      </c>
      <c r="G11" s="1308">
        <f>$E$11*F4</f>
        <v>225</v>
      </c>
      <c r="H11" s="1307">
        <f>$D$11*H4</f>
        <v>150</v>
      </c>
      <c r="I11" s="1309">
        <f>$E$11*H4</f>
        <v>450</v>
      </c>
      <c r="J11" s="1310">
        <f>$D$11*J4</f>
        <v>250</v>
      </c>
      <c r="K11" s="1308">
        <f>$E$11*J4</f>
        <v>750</v>
      </c>
      <c r="L11" s="1307">
        <f>$D$11*L4</f>
        <v>300</v>
      </c>
      <c r="M11" s="1309">
        <f>$E$11*L4</f>
        <v>900</v>
      </c>
      <c r="N11" s="1310">
        <f>$D$11*N4</f>
        <v>600</v>
      </c>
      <c r="O11" s="1311">
        <f>$E$11*N4</f>
        <v>1800</v>
      </c>
      <c r="P11" s="1299">
        <f>IF(C6="x", SUM(D12:O12)-(SUM(D12:O12)*Q13),SUM(D8:O8)-(SUM(D8:O8)*Q13))</f>
        <v>0</v>
      </c>
      <c r="Q11" s="2589"/>
      <c r="R11" s="145"/>
      <c r="S11" s="41"/>
      <c r="T11" s="41"/>
      <c r="U11" s="41"/>
      <c r="V11" s="41"/>
      <c r="W11" s="41"/>
      <c r="X11" s="41"/>
      <c r="Y11" s="41"/>
      <c r="Z11" s="41"/>
      <c r="AA11" s="41"/>
      <c r="AB11" s="41"/>
    </row>
    <row r="12" spans="1:28" s="31" customFormat="1" ht="19" hidden="1" thickTop="1">
      <c r="A12" s="2598"/>
      <c r="B12" s="605"/>
      <c r="C12" s="910"/>
      <c r="D12" s="179">
        <f t="shared" ref="D12:O12" si="2">IF(D7="x",D13,0)</f>
        <v>0</v>
      </c>
      <c r="E12" s="179">
        <f t="shared" si="2"/>
        <v>0</v>
      </c>
      <c r="F12" s="179">
        <f t="shared" si="2"/>
        <v>0</v>
      </c>
      <c r="G12" s="179">
        <f t="shared" si="2"/>
        <v>0</v>
      </c>
      <c r="H12" s="179">
        <f t="shared" si="2"/>
        <v>0</v>
      </c>
      <c r="I12" s="179">
        <f t="shared" si="2"/>
        <v>0</v>
      </c>
      <c r="J12" s="179">
        <f t="shared" si="2"/>
        <v>0</v>
      </c>
      <c r="K12" s="179">
        <f t="shared" si="2"/>
        <v>0</v>
      </c>
      <c r="L12" s="179">
        <f t="shared" si="2"/>
        <v>0</v>
      </c>
      <c r="M12" s="179">
        <f t="shared" si="2"/>
        <v>0</v>
      </c>
      <c r="N12" s="179">
        <f t="shared" si="2"/>
        <v>0</v>
      </c>
      <c r="O12" s="179">
        <f t="shared" si="2"/>
        <v>0</v>
      </c>
      <c r="P12" s="131"/>
      <c r="Q12" s="132"/>
      <c r="R12" s="41"/>
      <c r="S12" s="41"/>
      <c r="T12" s="41"/>
      <c r="U12" s="41"/>
      <c r="V12" s="41"/>
      <c r="W12" s="41"/>
      <c r="X12" s="41"/>
      <c r="Y12" s="41"/>
      <c r="Z12" s="41"/>
      <c r="AA12" s="41"/>
      <c r="AB12" s="41"/>
    </row>
    <row r="13" spans="1:28" s="31" customFormat="1" ht="32" customHeight="1" thickTop="1" thickBot="1">
      <c r="A13" s="2599"/>
      <c r="B13" s="606"/>
      <c r="C13" s="911" t="s">
        <v>910</v>
      </c>
      <c r="D13" s="1292" t="str">
        <f t="shared" ref="D13:O13" si="3">IF($C$6="x",D11*$C$5,"")</f>
        <v/>
      </c>
      <c r="E13" s="1293" t="str">
        <f t="shared" si="3"/>
        <v/>
      </c>
      <c r="F13" s="1293" t="str">
        <f t="shared" si="3"/>
        <v/>
      </c>
      <c r="G13" s="1293" t="str">
        <f>IF($C$6="x",G11*$C$5,"")</f>
        <v/>
      </c>
      <c r="H13" s="1293" t="str">
        <f t="shared" si="3"/>
        <v/>
      </c>
      <c r="I13" s="1293" t="str">
        <f t="shared" si="3"/>
        <v/>
      </c>
      <c r="J13" s="1293" t="str">
        <f t="shared" si="3"/>
        <v/>
      </c>
      <c r="K13" s="1293" t="str">
        <f t="shared" si="3"/>
        <v/>
      </c>
      <c r="L13" s="1293" t="str">
        <f t="shared" si="3"/>
        <v/>
      </c>
      <c r="M13" s="1293" t="str">
        <f t="shared" si="3"/>
        <v/>
      </c>
      <c r="N13" s="1293" t="str">
        <f t="shared" si="3"/>
        <v/>
      </c>
      <c r="O13" s="1294" t="str">
        <f t="shared" si="3"/>
        <v/>
      </c>
      <c r="P13" s="594" t="s">
        <v>382</v>
      </c>
      <c r="Q13" s="1014">
        <v>0</v>
      </c>
      <c r="R13" s="2568" t="str">
        <f>IF(AND(R11="x",Q13&gt;0),"FAIRE UN CHOIX","")</f>
        <v/>
      </c>
      <c r="S13" s="41"/>
      <c r="T13" s="41"/>
      <c r="U13" s="41"/>
      <c r="V13" s="41"/>
      <c r="W13" s="41"/>
      <c r="X13" s="41"/>
      <c r="Y13" s="41"/>
      <c r="Z13" s="41"/>
      <c r="AA13" s="41"/>
      <c r="AB13" s="41"/>
    </row>
    <row r="14" spans="1:28" s="614" customFormat="1" ht="28" customHeight="1">
      <c r="A14" s="611"/>
      <c r="B14" s="585"/>
      <c r="C14" s="586"/>
      <c r="D14" s="612"/>
      <c r="E14" s="612"/>
      <c r="F14" s="612"/>
      <c r="G14" s="612"/>
      <c r="H14" s="612"/>
      <c r="I14" s="612"/>
      <c r="J14" s="612"/>
      <c r="K14" s="612"/>
      <c r="L14" s="612"/>
      <c r="M14" s="612"/>
      <c r="N14" s="612"/>
      <c r="O14" s="612"/>
      <c r="P14" s="587"/>
      <c r="Q14" s="588"/>
      <c r="R14" s="2569"/>
      <c r="S14" s="613"/>
      <c r="T14" s="613"/>
      <c r="U14" s="613"/>
      <c r="V14" s="613"/>
      <c r="W14" s="613"/>
      <c r="X14" s="613"/>
      <c r="Y14" s="613"/>
      <c r="Z14" s="613"/>
      <c r="AA14" s="613"/>
      <c r="AB14" s="613"/>
    </row>
    <row r="15" spans="1:28" s="31" customFormat="1" ht="28" customHeight="1">
      <c r="A15"/>
      <c r="B15"/>
      <c r="C15"/>
      <c r="D15"/>
      <c r="E15"/>
      <c r="F15"/>
      <c r="G15"/>
      <c r="H15"/>
      <c r="I15"/>
      <c r="J15"/>
      <c r="K15"/>
      <c r="L15"/>
      <c r="M15"/>
      <c r="N15"/>
      <c r="O15"/>
      <c r="P15"/>
      <c r="Q15" s="30"/>
      <c r="R15" s="2594"/>
      <c r="S15" s="41"/>
      <c r="T15" s="41"/>
      <c r="U15" s="41"/>
      <c r="V15" s="41"/>
      <c r="W15" s="41"/>
      <c r="X15" s="41"/>
      <c r="Y15" s="41"/>
      <c r="Z15" s="41"/>
      <c r="AA15" s="41"/>
      <c r="AB15" s="41"/>
    </row>
    <row r="16" spans="1:28" s="31" customFormat="1" ht="28" customHeight="1" thickBot="1">
      <c r="A16"/>
      <c r="B16"/>
      <c r="C16"/>
      <c r="D16"/>
      <c r="E16"/>
      <c r="F16"/>
      <c r="G16"/>
      <c r="H16"/>
      <c r="I16"/>
      <c r="J16"/>
      <c r="K16"/>
      <c r="L16"/>
      <c r="M16"/>
      <c r="N16"/>
      <c r="O16"/>
      <c r="P16"/>
      <c r="Q16" s="23"/>
      <c r="R16" s="23"/>
      <c r="S16" s="41"/>
      <c r="T16" s="41"/>
      <c r="U16" s="41"/>
      <c r="V16" s="41"/>
      <c r="W16" s="41"/>
      <c r="X16" s="41"/>
      <c r="Y16" s="41"/>
      <c r="Z16" s="41"/>
      <c r="AA16" s="41"/>
      <c r="AB16" s="41"/>
    </row>
    <row r="17" spans="1:29" s="108" customFormat="1" ht="35" customHeight="1" thickBot="1">
      <c r="A17" s="2576" t="s">
        <v>840</v>
      </c>
      <c r="B17" s="2545" t="s">
        <v>186</v>
      </c>
      <c r="C17" s="2545"/>
      <c r="D17" s="2545"/>
      <c r="E17" s="2545"/>
      <c r="F17" s="2545"/>
      <c r="G17" s="2545"/>
      <c r="H17" s="2545"/>
      <c r="I17" s="2545"/>
      <c r="J17" s="2545"/>
      <c r="K17" s="2545"/>
      <c r="L17" s="2545"/>
      <c r="M17" s="2545"/>
      <c r="N17" s="2545"/>
      <c r="O17" s="2545"/>
      <c r="P17" s="2513"/>
      <c r="Q17" s="106"/>
      <c r="R17" s="107"/>
      <c r="S17" s="107"/>
      <c r="T17" s="107"/>
      <c r="U17" s="107"/>
      <c r="V17" s="107"/>
      <c r="W17" s="107"/>
      <c r="X17" s="107"/>
      <c r="Y17" s="107"/>
      <c r="Z17" s="107"/>
      <c r="AA17" s="107"/>
      <c r="AB17" s="107"/>
    </row>
    <row r="18" spans="1:29" s="102" customFormat="1" ht="28" customHeight="1" thickBot="1">
      <c r="A18" s="2577"/>
      <c r="B18" s="609"/>
      <c r="C18" s="608"/>
      <c r="D18" s="2546" t="s">
        <v>904</v>
      </c>
      <c r="E18" s="2547"/>
      <c r="F18" s="2547"/>
      <c r="G18" s="2547"/>
      <c r="H18" s="2547"/>
      <c r="I18" s="2547"/>
      <c r="J18" s="2547"/>
      <c r="K18" s="2547"/>
      <c r="L18" s="2547"/>
      <c r="M18" s="2547"/>
      <c r="N18" s="2547"/>
      <c r="O18" s="2547"/>
      <c r="P18" s="2595" t="str">
        <f>P5</f>
        <v>TOTAUX</v>
      </c>
      <c r="Q18" s="2590" t="s">
        <v>717</v>
      </c>
      <c r="R18" s="2583" t="s">
        <v>145</v>
      </c>
      <c r="S18" s="105"/>
      <c r="T18" s="105"/>
      <c r="U18" s="105"/>
      <c r="V18" s="105"/>
      <c r="W18" s="105"/>
      <c r="X18" s="105"/>
      <c r="Y18" s="105"/>
      <c r="Z18" s="105"/>
      <c r="AA18" s="105"/>
      <c r="AB18" s="105"/>
    </row>
    <row r="19" spans="1:29" s="102" customFormat="1" ht="28" customHeight="1" thickBot="1">
      <c r="A19" s="2577"/>
      <c r="B19" s="600"/>
      <c r="C19" s="598"/>
      <c r="D19" s="2544" t="s">
        <v>387</v>
      </c>
      <c r="E19" s="2545"/>
      <c r="F19" s="2549" t="s">
        <v>675</v>
      </c>
      <c r="G19" s="2550"/>
      <c r="H19" s="2548" t="s">
        <v>183</v>
      </c>
      <c r="I19" s="2545"/>
      <c r="J19" s="2549" t="s">
        <v>59</v>
      </c>
      <c r="K19" s="2550"/>
      <c r="L19" s="2548" t="s">
        <v>313</v>
      </c>
      <c r="M19" s="2545"/>
      <c r="N19" s="2549" t="s">
        <v>312</v>
      </c>
      <c r="O19" s="2548"/>
      <c r="P19" s="2596"/>
      <c r="Q19" s="2591"/>
      <c r="R19" s="2584"/>
      <c r="S19" s="105"/>
      <c r="T19" s="105"/>
      <c r="U19" s="105"/>
      <c r="V19" s="105"/>
      <c r="W19" s="105"/>
      <c r="X19" s="105"/>
      <c r="Y19" s="105"/>
      <c r="Z19" s="105"/>
      <c r="AA19" s="105"/>
      <c r="AB19" s="105"/>
    </row>
    <row r="20" spans="1:29" s="102" customFormat="1" ht="35" customHeight="1">
      <c r="A20" s="2577"/>
      <c r="B20" s="600"/>
      <c r="C20" s="598"/>
      <c r="D20" s="671" t="str">
        <f>IF(O26=0,"",(IF(O26&gt;1,"","1 photo")))</f>
        <v/>
      </c>
      <c r="E20" s="672" t="str">
        <f>IF(O26=1,"",IF(O26=0,"",O26&amp;" photos"))</f>
        <v/>
      </c>
      <c r="F20" s="673" t="str">
        <f>D20</f>
        <v/>
      </c>
      <c r="G20" s="674" t="str">
        <f>E20</f>
        <v/>
      </c>
      <c r="H20" s="675" t="str">
        <f>D20</f>
        <v/>
      </c>
      <c r="I20" s="676" t="str">
        <f>E20</f>
        <v/>
      </c>
      <c r="J20" s="673" t="str">
        <f>D20</f>
        <v/>
      </c>
      <c r="K20" s="674" t="str">
        <f>E20</f>
        <v/>
      </c>
      <c r="L20" s="675" t="str">
        <f>D20</f>
        <v/>
      </c>
      <c r="M20" s="676" t="str">
        <f>E20</f>
        <v/>
      </c>
      <c r="N20" s="673" t="str">
        <f>D20</f>
        <v/>
      </c>
      <c r="O20" s="676" t="str">
        <f>E20</f>
        <v/>
      </c>
      <c r="P20" s="1295" t="str">
        <f>IF(D23=3,D19,IF(F23=4,F19,IF(H23=5,H19,IF(J23=6,J19,IF(L23=7,L19,IF(N23=8,N19,""))))))</f>
        <v/>
      </c>
      <c r="Q20" s="2591"/>
      <c r="R20" s="2584"/>
      <c r="S20" s="105"/>
      <c r="T20" s="105"/>
      <c r="U20" s="105"/>
      <c r="V20" s="105"/>
      <c r="W20" s="105"/>
      <c r="X20" s="105"/>
      <c r="Y20" s="105"/>
      <c r="Z20" s="105"/>
      <c r="AA20" s="105"/>
      <c r="AB20" s="105"/>
    </row>
    <row r="21" spans="1:29" s="31" customFormat="1" ht="31" customHeight="1">
      <c r="A21" s="2577"/>
      <c r="B21" s="601"/>
      <c r="C21" s="880" t="str">
        <f>C7</f>
        <v>Mettre une "x" dans la case correspondant à l'utilisation</v>
      </c>
      <c r="D21" s="959"/>
      <c r="E21" s="960"/>
      <c r="F21" s="959"/>
      <c r="G21" s="960"/>
      <c r="H21" s="959"/>
      <c r="I21" s="960"/>
      <c r="J21" s="959"/>
      <c r="K21" s="960"/>
      <c r="L21" s="959"/>
      <c r="M21" s="960"/>
      <c r="N21" s="959"/>
      <c r="O21" s="961"/>
      <c r="P21" s="1300" t="str">
        <f>IF(O26=1,"Une photo",O26&amp;" photos")</f>
        <v>0 photos</v>
      </c>
      <c r="Q21" s="2591"/>
      <c r="R21" s="2585"/>
      <c r="S21" s="41"/>
      <c r="T21" s="41"/>
      <c r="U21" s="41"/>
      <c r="V21" s="41"/>
      <c r="W21" s="41"/>
      <c r="X21" s="41"/>
      <c r="Y21" s="41"/>
      <c r="Z21" s="41"/>
      <c r="AA21" s="41"/>
      <c r="AB21" s="41"/>
    </row>
    <row r="22" spans="1:29" s="31" customFormat="1" ht="18" hidden="1">
      <c r="A22" s="2577"/>
      <c r="B22" s="601"/>
      <c r="C22" s="881"/>
      <c r="D22" s="55">
        <f t="shared" ref="D22:O22" si="4">IF(D21="x",D24,0)</f>
        <v>0</v>
      </c>
      <c r="E22" s="595">
        <f t="shared" si="4"/>
        <v>0</v>
      </c>
      <c r="F22" s="373">
        <f t="shared" si="4"/>
        <v>0</v>
      </c>
      <c r="G22" s="441">
        <f t="shared" si="4"/>
        <v>0</v>
      </c>
      <c r="H22" s="373">
        <f t="shared" si="4"/>
        <v>0</v>
      </c>
      <c r="I22" s="441">
        <f t="shared" si="4"/>
        <v>0</v>
      </c>
      <c r="J22" s="373">
        <f t="shared" si="4"/>
        <v>0</v>
      </c>
      <c r="K22" s="441">
        <f t="shared" si="4"/>
        <v>0</v>
      </c>
      <c r="L22" s="373">
        <f t="shared" si="4"/>
        <v>0</v>
      </c>
      <c r="M22" s="441">
        <f t="shared" si="4"/>
        <v>0</v>
      </c>
      <c r="N22" s="373">
        <f t="shared" si="4"/>
        <v>0</v>
      </c>
      <c r="O22" s="57">
        <f t="shared" si="4"/>
        <v>0</v>
      </c>
      <c r="P22" s="1297"/>
      <c r="Q22" s="2589"/>
      <c r="R22" s="41"/>
      <c r="S22" s="41"/>
      <c r="T22" s="41"/>
      <c r="U22" s="41"/>
      <c r="V22" s="41"/>
      <c r="W22" s="41"/>
      <c r="X22" s="41"/>
      <c r="Y22" s="41"/>
      <c r="Z22" s="41"/>
      <c r="AA22" s="41"/>
      <c r="AB22" s="41"/>
    </row>
    <row r="23" spans="1:29" s="31" customFormat="1" ht="18" hidden="1">
      <c r="A23" s="2577"/>
      <c r="B23" s="601"/>
      <c r="C23" s="881"/>
      <c r="D23" s="2558">
        <f>IF((D22+E22)&gt;1,3,0)</f>
        <v>0</v>
      </c>
      <c r="E23" s="2559"/>
      <c r="F23" s="2558">
        <f>IF((F22+G22)&gt;1,4,0)</f>
        <v>0</v>
      </c>
      <c r="G23" s="2559"/>
      <c r="H23" s="2558">
        <f>IF((H22+I22)&gt;1,5,0)</f>
        <v>0</v>
      </c>
      <c r="I23" s="2559"/>
      <c r="J23" s="2558">
        <f>IF((J22+K22)&gt;1,6,0)</f>
        <v>0</v>
      </c>
      <c r="K23" s="2559"/>
      <c r="L23" s="2558">
        <f>IF((L22+M22)&gt;1,7,0)</f>
        <v>0</v>
      </c>
      <c r="M23" s="2559"/>
      <c r="N23" s="2558">
        <f>IF((N22+O22)&gt;1,8,0)</f>
        <v>0</v>
      </c>
      <c r="O23" s="2559"/>
      <c r="P23" s="1298"/>
      <c r="Q23" s="2589"/>
      <c r="R23" s="41"/>
      <c r="S23" s="41"/>
      <c r="T23" s="41"/>
      <c r="U23" s="41"/>
      <c r="V23" s="41"/>
      <c r="W23" s="41"/>
      <c r="X23" s="41"/>
      <c r="Y23" s="41"/>
      <c r="Z23" s="41"/>
      <c r="AA23" s="41"/>
      <c r="AB23" s="41"/>
    </row>
    <row r="24" spans="1:29" customFormat="1" ht="35" thickBot="1">
      <c r="A24" s="2577"/>
      <c r="B24" s="531"/>
      <c r="C24" s="882" t="s">
        <v>1017</v>
      </c>
      <c r="D24" s="1310">
        <f>IF($O$26&gt;1,0,$O$24*E25/3)</f>
        <v>262.5</v>
      </c>
      <c r="E24" s="1309">
        <f>IF($O$26=1,0,$O$24*E25)</f>
        <v>787.5</v>
      </c>
      <c r="F24" s="1312">
        <f>IF($O$26&gt;1,0,$O$24*G25/3)</f>
        <v>314.99999999999994</v>
      </c>
      <c r="G24" s="1309">
        <f>IF($O$26=1,0,$O$24*G25)</f>
        <v>944.99999999999989</v>
      </c>
      <c r="H24" s="1312">
        <f>IF($O$26&gt;1,0,$O$24*I25/3)</f>
        <v>367.49999999999994</v>
      </c>
      <c r="I24" s="1309">
        <f>IF($O$26=1,0,$O$24*I25)</f>
        <v>1102.4999999999998</v>
      </c>
      <c r="J24" s="1312">
        <f>IF($O$26&gt;1,0,$O$24*K25/3)</f>
        <v>420.00000000000006</v>
      </c>
      <c r="K24" s="1309">
        <f>IF($O$26=1,0,$O$24*K25)</f>
        <v>1260.0000000000002</v>
      </c>
      <c r="L24" s="1312">
        <f>IF($O$26&gt;1,0,$O$24*M25/3)</f>
        <v>472.5</v>
      </c>
      <c r="M24" s="1309">
        <f>IF($O$26=1,0,$O$24*M25)</f>
        <v>1417.5</v>
      </c>
      <c r="N24" s="1312">
        <f>IF($O$26&gt;1,0,$O$24*O25/3)</f>
        <v>525</v>
      </c>
      <c r="O24" s="1311">
        <f>D27*O25</f>
        <v>1050</v>
      </c>
      <c r="P24" s="1301">
        <f>ROUND(SUM(D22:O22)-(SUM(D22:O22)*Q25),0)</f>
        <v>0</v>
      </c>
      <c r="Q24" s="2589"/>
      <c r="R24" s="144"/>
      <c r="S24" s="41"/>
      <c r="T24" s="41"/>
      <c r="U24" s="41"/>
      <c r="V24" s="41"/>
      <c r="W24" s="41"/>
      <c r="X24" s="41"/>
      <c r="Y24" s="41"/>
      <c r="Z24" s="41"/>
      <c r="AA24" s="41"/>
      <c r="AB24" s="41"/>
      <c r="AC24" s="41"/>
    </row>
    <row r="25" spans="1:29" s="128" customFormat="1" ht="30" customHeight="1" thickTop="1" thickBot="1">
      <c r="A25" s="2577"/>
      <c r="B25" s="2579"/>
      <c r="C25" s="2580"/>
      <c r="D25" s="589"/>
      <c r="E25" s="599">
        <f>O25*0.5</f>
        <v>0.75</v>
      </c>
      <c r="F25" s="599"/>
      <c r="G25" s="599">
        <f>O25*0.6</f>
        <v>0.89999999999999991</v>
      </c>
      <c r="H25" s="599"/>
      <c r="I25" s="599">
        <f>O25*0.7</f>
        <v>1.0499999999999998</v>
      </c>
      <c r="J25" s="599"/>
      <c r="K25" s="599">
        <f>O25*0.8</f>
        <v>1.2000000000000002</v>
      </c>
      <c r="L25" s="599"/>
      <c r="M25" s="599">
        <f>O25*0.9</f>
        <v>1.35</v>
      </c>
      <c r="N25" s="623"/>
      <c r="O25" s="624">
        <f>IF(O26=1,1,IF(AND(O26&gt;1,O26&lt;6),1.03,IF(AND(O26&gt;5,O26&lt;11),1.1,IF(AND(O26&gt;10,O26&lt;21),1.2,IF(AND(O26&gt;20,O26&lt;31),1.3,IF(AND(O26&gt;30,O26&lt;41),1.4,1.5))))))</f>
        <v>1.5</v>
      </c>
      <c r="P25" s="349" t="s">
        <v>382</v>
      </c>
      <c r="Q25" s="753">
        <v>0</v>
      </c>
      <c r="R25" s="2568" t="str">
        <f>IF(AND(R24="x",Q25&gt;0),"FAIRE UN CHOIX","")</f>
        <v/>
      </c>
    </row>
    <row r="26" spans="1:29" s="40" customFormat="1" ht="57" customHeight="1" thickBot="1">
      <c r="A26" s="2577"/>
      <c r="B26" s="607"/>
      <c r="C26" s="2565" t="s">
        <v>148</v>
      </c>
      <c r="D26" s="2578"/>
      <c r="E26" s="2570" t="s">
        <v>992</v>
      </c>
      <c r="F26" s="2571"/>
      <c r="G26" s="2572"/>
      <c r="H26" s="2581"/>
      <c r="I26" s="2582"/>
      <c r="J26" s="1058"/>
      <c r="K26" s="2563" t="s">
        <v>367</v>
      </c>
      <c r="L26" s="2564"/>
      <c r="M26" s="2564"/>
      <c r="N26" s="2564"/>
      <c r="O26" s="1059">
        <v>0</v>
      </c>
      <c r="P26" s="1058"/>
      <c r="Q26" s="1060"/>
      <c r="R26" s="2569"/>
    </row>
    <row r="27" spans="1:29" ht="51" customHeight="1">
      <c r="A27" s="2577"/>
      <c r="B27" s="531"/>
      <c r="C27" s="1061" t="s">
        <v>1051</v>
      </c>
      <c r="D27" s="1062">
        <v>700</v>
      </c>
      <c r="E27" s="2573"/>
      <c r="F27" s="2574"/>
      <c r="G27" s="2575"/>
      <c r="H27" s="2581"/>
      <c r="I27" s="2582"/>
      <c r="J27" s="1155"/>
      <c r="K27" s="2555" t="s">
        <v>1103</v>
      </c>
      <c r="L27" s="2556"/>
      <c r="M27" s="2556"/>
      <c r="N27" s="2556"/>
      <c r="O27" s="2557"/>
      <c r="P27" s="531"/>
      <c r="Q27" s="568"/>
      <c r="R27" s="2569"/>
    </row>
    <row r="28" spans="1:29" customFormat="1" ht="48" customHeight="1">
      <c r="A28" s="2565" t="s">
        <v>998</v>
      </c>
      <c r="B28" s="2566"/>
      <c r="C28" s="2566"/>
      <c r="D28" s="2566"/>
      <c r="E28" s="2566"/>
      <c r="F28" s="2566"/>
      <c r="G28" s="2566"/>
      <c r="H28" s="2566"/>
      <c r="I28" s="2566"/>
      <c r="J28" s="2566"/>
      <c r="K28" s="2567"/>
      <c r="L28" s="2567"/>
      <c r="M28" s="2567"/>
      <c r="N28" s="2567"/>
      <c r="O28" s="2567"/>
      <c r="P28" s="2567"/>
      <c r="Q28" s="2567"/>
      <c r="R28" s="2552"/>
    </row>
    <row r="29" spans="1:29" s="30" customFormat="1" ht="15" customHeight="1"/>
    <row r="30" spans="1:29" customFormat="1" ht="67" customHeight="1">
      <c r="A30" s="23"/>
      <c r="B30" s="23"/>
      <c r="C30" s="23"/>
      <c r="D30" s="23"/>
      <c r="E30" s="23"/>
      <c r="F30" s="23"/>
      <c r="G30" s="23"/>
      <c r="H30" s="2553" t="s">
        <v>1059</v>
      </c>
      <c r="I30" s="2554"/>
      <c r="J30" s="1056">
        <v>0</v>
      </c>
      <c r="K30" s="2560" t="s">
        <v>1064</v>
      </c>
      <c r="L30" s="2561"/>
      <c r="M30" s="2561"/>
      <c r="N30" s="2562"/>
      <c r="O30" s="1057">
        <v>150</v>
      </c>
      <c r="P30" s="1313">
        <f>J30*O30</f>
        <v>0</v>
      </c>
      <c r="Q30" s="23"/>
      <c r="R30" s="23"/>
    </row>
    <row r="31" spans="1:29" ht="29" customHeight="1">
      <c r="O31" s="2551" t="s">
        <v>317</v>
      </c>
      <c r="P31" s="2552"/>
    </row>
    <row r="32" spans="1:29" ht="34" customHeight="1"/>
    <row r="33" customFormat="1" ht="34" customHeight="1"/>
    <row r="34" ht="34" customHeight="1"/>
    <row r="35" ht="34" customHeight="1"/>
    <row r="36" ht="34" customHeight="1"/>
    <row r="37" ht="34" customHeight="1"/>
    <row r="38" s="63" customFormat="1" ht="34" customHeight="1"/>
    <row r="39" ht="34" customHeight="1"/>
    <row r="40" ht="34" customHeight="1"/>
    <row r="41" ht="27" customHeight="1"/>
    <row r="42" ht="44" customHeight="1"/>
  </sheetData>
  <mergeCells count="59">
    <mergeCell ref="D10:E10"/>
    <mergeCell ref="F10:G10"/>
    <mergeCell ref="H10:I10"/>
    <mergeCell ref="J10:K10"/>
    <mergeCell ref="F5:G5"/>
    <mergeCell ref="H3:I3"/>
    <mergeCell ref="J3:K3"/>
    <mergeCell ref="L3:M3"/>
    <mergeCell ref="N3:O3"/>
    <mergeCell ref="H4:I4"/>
    <mergeCell ref="J4:K4"/>
    <mergeCell ref="H19:I19"/>
    <mergeCell ref="P18:P19"/>
    <mergeCell ref="D23:E23"/>
    <mergeCell ref="F23:G23"/>
    <mergeCell ref="A1:A13"/>
    <mergeCell ref="J5:K5"/>
    <mergeCell ref="D5:E5"/>
    <mergeCell ref="H5:I5"/>
    <mergeCell ref="B1:P1"/>
    <mergeCell ref="C2:C4"/>
    <mergeCell ref="D2:E4"/>
    <mergeCell ref="L4:M4"/>
    <mergeCell ref="N4:O4"/>
    <mergeCell ref="F2:P2"/>
    <mergeCell ref="F3:G3"/>
    <mergeCell ref="F4:G4"/>
    <mergeCell ref="A17:A27"/>
    <mergeCell ref="C26:D26"/>
    <mergeCell ref="B25:C25"/>
    <mergeCell ref="H26:I27"/>
    <mergeCell ref="R5:R7"/>
    <mergeCell ref="N10:O10"/>
    <mergeCell ref="L5:M5"/>
    <mergeCell ref="R18:R21"/>
    <mergeCell ref="Q5:Q11"/>
    <mergeCell ref="Q18:Q24"/>
    <mergeCell ref="N19:O19"/>
    <mergeCell ref="B17:P17"/>
    <mergeCell ref="N5:O5"/>
    <mergeCell ref="L10:M10"/>
    <mergeCell ref="R13:R15"/>
    <mergeCell ref="F19:G19"/>
    <mergeCell ref="D19:E19"/>
    <mergeCell ref="D18:O18"/>
    <mergeCell ref="L19:M19"/>
    <mergeCell ref="J19:K19"/>
    <mergeCell ref="O31:P31"/>
    <mergeCell ref="H30:I30"/>
    <mergeCell ref="K27:O27"/>
    <mergeCell ref="N23:O23"/>
    <mergeCell ref="K30:N30"/>
    <mergeCell ref="K26:N26"/>
    <mergeCell ref="A28:R28"/>
    <mergeCell ref="R25:R27"/>
    <mergeCell ref="E26:G27"/>
    <mergeCell ref="H23:I23"/>
    <mergeCell ref="J23:K23"/>
    <mergeCell ref="L23:M23"/>
  </mergeCells>
  <phoneticPr fontId="50" type="noConversion"/>
  <conditionalFormatting sqref="Q13:Q14 Q25">
    <cfRule type="cellIs" dxfId="56" priority="1" stopIfTrue="1" operator="greaterThan">
      <formula>0</formula>
    </cfRule>
  </conditionalFormatting>
  <conditionalFormatting sqref="D7:O7 D21:O21">
    <cfRule type="cellIs" dxfId="55" priority="2" stopIfTrue="1" operator="equal">
      <formula>"x"</formula>
    </cfRule>
  </conditionalFormatting>
  <conditionalFormatting sqref="H26">
    <cfRule type="cellIs" dxfId="54" priority="3" stopIfTrue="1" operator="greaterThan">
      <formula>0</formula>
    </cfRule>
  </conditionalFormatting>
  <conditionalFormatting sqref="D24:O24">
    <cfRule type="cellIs" dxfId="53" priority="4" stopIfTrue="1" operator="equal">
      <formula>0</formula>
    </cfRule>
  </conditionalFormatting>
  <conditionalFormatting sqref="D24:O24">
    <cfRule type="cellIs" dxfId="52" priority="6" stopIfTrue="1" operator="greaterThan">
      <formula>0</formula>
    </cfRule>
  </conditionalFormatting>
  <conditionalFormatting sqref="J30 O26">
    <cfRule type="cellIs" dxfId="51" priority="7" stopIfTrue="1" operator="greaterThan">
      <formula>0</formula>
    </cfRule>
  </conditionalFormatting>
  <conditionalFormatting sqref="R13:R15 R25:R27">
    <cfRule type="cellIs" dxfId="50" priority="8" stopIfTrue="1" operator="equal">
      <formula>"faire un choix"</formula>
    </cfRule>
  </conditionalFormatting>
  <printOptions horizontalCentered="1" verticalCentered="1"/>
  <pageMargins left="1.3810763888888888" right="0.38333333333333336" top="0.80147058823529416" bottom="0.88645833333333335" header="0.5" footer="0.66805555555555551"/>
  <pageSetup paperSize="10" scale="29" orientation="landscape" horizontalDpi="4294967292" verticalDpi="4294967292"/>
  <headerFooter>
    <oddHeader>&amp;C&amp;"Arial,Gras"&amp;16PROPOSITION DE CALCUL POUR UNE RÉMUNERATION FORFAITAIRE DES DROITS D'UTILISATION PRINT ET POUR LES DROITS DE REPRÉSENTATION (EXPOSITION, MONSTRATION) AUCUN DE CES BARÈMES N'EST DESTINÉ À REMPLACER CEUX EXISTANTS_x000D__x000D_.&amp;R_x000D_</oddHeader>
    <oddFooter>&amp;C© 2017/2019 - Gpla/eric delamarre - Communication à des tiers interdite - Ceci n'est pas un barème officiel _x000D_</oddFooter>
  </headerFooter>
  <ignoredErrors>
    <ignoredError sqref="H11 I11:J11 K11:L11 M11:N11 E24:M24" formula="1"/>
    <ignoredError sqref="D13:F13 P12 H13:O13 P18 P8 C11" emptyCellReference="1"/>
  </ignoredErrors>
  <extLst>
    <ext xmlns:mx="http://schemas.microsoft.com/office/mac/excel/2008/main" uri="http://schemas.microsoft.com/office/mac/excel/2008/main">
      <mx:PLV Mode="1"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30"/>
  <sheetViews>
    <sheetView showGridLines="0" view="pageLayout" zoomScale="125" zoomScalePageLayoutView="125" workbookViewId="0">
      <selection activeCell="A10" sqref="A10"/>
    </sheetView>
  </sheetViews>
  <sheetFormatPr baseColWidth="10" defaultRowHeight="18"/>
  <cols>
    <col min="1" max="1" width="4.5" customWidth="1"/>
    <col min="2" max="2" width="1.75" customWidth="1"/>
    <col min="3" max="3" width="9" customWidth="1"/>
    <col min="4" max="4" width="11" customWidth="1"/>
    <col min="5" max="5" width="12" customWidth="1"/>
    <col min="6" max="6" width="11.375" customWidth="1"/>
    <col min="7" max="7" width="14.625" customWidth="1"/>
    <col min="8" max="8" width="6.625" hidden="1" customWidth="1"/>
    <col min="9" max="9" width="6.875" hidden="1" customWidth="1"/>
    <col min="10" max="10" width="6.375" hidden="1" customWidth="1"/>
    <col min="11" max="11" width="8" hidden="1" customWidth="1"/>
    <col min="12" max="12" width="16.25" customWidth="1"/>
    <col min="13" max="13" width="9" hidden="1" customWidth="1"/>
    <col min="14" max="14" width="1.625" customWidth="1"/>
  </cols>
  <sheetData>
    <row r="1" spans="1:14" ht="19" thickBot="1"/>
    <row r="2" spans="1:14" ht="22" customHeight="1">
      <c r="A2" s="2640" t="s">
        <v>9</v>
      </c>
      <c r="B2" s="2624" t="s">
        <v>1193</v>
      </c>
      <c r="C2" s="2625"/>
      <c r="D2" s="2625"/>
      <c r="E2" s="2625"/>
      <c r="F2" s="2625"/>
      <c r="G2" s="2625"/>
      <c r="H2" s="2625"/>
      <c r="I2" s="2625"/>
      <c r="J2" s="2625"/>
      <c r="K2" s="2625"/>
      <c r="L2" s="2626"/>
      <c r="M2" s="230"/>
      <c r="N2" s="230"/>
    </row>
    <row r="3" spans="1:14" ht="14" customHeight="1">
      <c r="A3" s="2641"/>
      <c r="B3" s="1602"/>
      <c r="C3" s="1602"/>
      <c r="D3" s="1602"/>
      <c r="E3" s="1602"/>
      <c r="F3" s="1603"/>
      <c r="G3" s="1609" t="s">
        <v>1116</v>
      </c>
      <c r="H3" s="1604"/>
      <c r="I3" s="1605"/>
      <c r="J3" s="1606"/>
      <c r="K3" s="1602"/>
      <c r="L3" s="1607"/>
      <c r="M3" s="230"/>
      <c r="N3" s="230"/>
    </row>
    <row r="4" spans="1:14" ht="19" customHeight="1">
      <c r="A4" s="2641"/>
      <c r="B4" s="1602"/>
      <c r="C4" s="2627" t="s">
        <v>1197</v>
      </c>
      <c r="D4" s="2628"/>
      <c r="E4" s="2628"/>
      <c r="F4" s="1655" t="s">
        <v>1211</v>
      </c>
      <c r="G4" s="818">
        <v>4</v>
      </c>
      <c r="K4" s="2375" t="s">
        <v>196</v>
      </c>
      <c r="L4" s="2629" t="str">
        <f>IF(F4="x","Pour une œuvre de commande (production payée par le client)","Pour une œuvre préexistante")</f>
        <v>Pour une œuvre de commande (production payée par le client)</v>
      </c>
      <c r="M4" s="230"/>
      <c r="N4" s="230"/>
    </row>
    <row r="5" spans="1:14" ht="19" customHeight="1">
      <c r="A5" s="2641"/>
      <c r="B5" s="1602"/>
      <c r="C5" s="2632" t="s">
        <v>1198</v>
      </c>
      <c r="D5" s="2635" t="s">
        <v>1233</v>
      </c>
      <c r="E5" s="2636"/>
      <c r="F5" s="2637"/>
      <c r="G5" s="1654"/>
      <c r="H5" s="1548"/>
      <c r="I5" s="1548"/>
      <c r="J5" s="1549"/>
      <c r="K5" s="2375"/>
      <c r="L5" s="2630"/>
      <c r="M5" s="230"/>
      <c r="N5" s="230"/>
    </row>
    <row r="6" spans="1:14" ht="18" customHeight="1">
      <c r="A6" s="2641"/>
      <c r="B6" s="1602"/>
      <c r="C6" s="2633"/>
      <c r="D6" s="2635" t="s">
        <v>1106</v>
      </c>
      <c r="E6" s="2636"/>
      <c r="F6" s="2637"/>
      <c r="G6" s="1655"/>
      <c r="H6" s="1548"/>
      <c r="I6" s="1548"/>
      <c r="J6" s="1549"/>
      <c r="K6" s="2375"/>
      <c r="L6" s="2630"/>
      <c r="M6" s="230"/>
      <c r="N6" s="230"/>
    </row>
    <row r="7" spans="1:14" ht="18" customHeight="1">
      <c r="A7" s="2641"/>
      <c r="B7" s="1602"/>
      <c r="C7" s="2634"/>
      <c r="D7" s="2635" t="s">
        <v>1117</v>
      </c>
      <c r="E7" s="2636"/>
      <c r="F7" s="2637"/>
      <c r="G7" s="1655" t="s">
        <v>78</v>
      </c>
      <c r="H7" s="1548"/>
      <c r="I7" s="1548"/>
      <c r="J7" s="1549"/>
      <c r="K7" s="2375"/>
      <c r="L7" s="2630"/>
      <c r="M7" s="230"/>
      <c r="N7" s="230"/>
    </row>
    <row r="8" spans="1:14" ht="47" customHeight="1">
      <c r="A8" s="2641"/>
      <c r="B8" s="1602"/>
      <c r="C8" s="2638" t="s">
        <v>1118</v>
      </c>
      <c r="D8" s="1604"/>
      <c r="E8" s="1604"/>
      <c r="F8" s="1604"/>
      <c r="G8" s="1604"/>
      <c r="K8" s="2375"/>
      <c r="L8" s="2631"/>
      <c r="M8" s="230" t="s">
        <v>147</v>
      </c>
      <c r="N8" s="230"/>
    </row>
    <row r="9" spans="1:14" ht="17" customHeight="1">
      <c r="A9" s="2642"/>
      <c r="B9" s="1602"/>
      <c r="C9" s="2639"/>
      <c r="D9" s="1550" t="s">
        <v>1119</v>
      </c>
      <c r="E9" s="1550" t="s">
        <v>1120</v>
      </c>
      <c r="F9" s="1550" t="s">
        <v>1121</v>
      </c>
      <c r="G9" s="1550" t="s">
        <v>341</v>
      </c>
      <c r="K9" s="1766"/>
      <c r="L9" s="1767"/>
      <c r="M9" s="230"/>
      <c r="N9" s="230"/>
    </row>
    <row r="10" spans="1:14" ht="16" customHeight="1">
      <c r="A10" s="1655"/>
      <c r="B10" s="1576" t="s">
        <v>342</v>
      </c>
      <c r="C10" s="1562">
        <v>10</v>
      </c>
      <c r="D10" s="1690">
        <v>306</v>
      </c>
      <c r="E10" s="1690">
        <v>351</v>
      </c>
      <c r="F10" s="1690">
        <v>418</v>
      </c>
      <c r="G10" s="1691">
        <v>325</v>
      </c>
      <c r="H10" s="1551">
        <f>AVERAGE(D10:G10)</f>
        <v>350</v>
      </c>
      <c r="I10" s="1552">
        <f>SMALL(D10:G10,1)</f>
        <v>306</v>
      </c>
      <c r="J10" s="1552">
        <f>LARGE(D10:G10,1)</f>
        <v>418</v>
      </c>
      <c r="K10" s="1553">
        <f t="shared" ref="K10:K21" si="0">IF($G$6="x",H10,IF($G$7="x",I10,IF($G$5="x",J10,0)))</f>
        <v>306</v>
      </c>
      <c r="L10" s="1554" t="b">
        <f>IF(A10="x",IF($F$4="x",K10/$G$4,K10))</f>
        <v>0</v>
      </c>
      <c r="M10" s="230" t="str">
        <f>IF(A10="x",C10,"")</f>
        <v/>
      </c>
      <c r="N10" s="1714">
        <f>IF(A10="x",C10,0)</f>
        <v>0</v>
      </c>
    </row>
    <row r="11" spans="1:14" ht="16" customHeight="1">
      <c r="A11" s="1655"/>
      <c r="B11" s="342" t="s">
        <v>342</v>
      </c>
      <c r="C11" s="1563">
        <v>25</v>
      </c>
      <c r="D11" s="1692">
        <v>396</v>
      </c>
      <c r="E11" s="1692">
        <v>468</v>
      </c>
      <c r="F11" s="1692">
        <v>835</v>
      </c>
      <c r="G11" s="1693">
        <v>464</v>
      </c>
      <c r="H11" s="1551">
        <f t="shared" ref="H11:H21" si="1">AVERAGE(D11:G11)</f>
        <v>540.75</v>
      </c>
      <c r="I11" s="1552">
        <f t="shared" ref="I11:I21" si="2">SMALL(D11:G11,1)</f>
        <v>396</v>
      </c>
      <c r="J11" s="1552">
        <f t="shared" ref="J11:J21" si="3">LARGE(D11:G11,1)</f>
        <v>835</v>
      </c>
      <c r="K11" s="1553">
        <f t="shared" si="0"/>
        <v>396</v>
      </c>
      <c r="L11" s="1554" t="b">
        <f t="shared" ref="L11:L20" si="4">IF(A11="x",IF($F$4="x",K11/$G$4,K11))</f>
        <v>0</v>
      </c>
      <c r="M11" s="230" t="str">
        <f t="shared" ref="M11:M25" si="5">IF(A11="x",C11,"")</f>
        <v/>
      </c>
      <c r="N11" s="1714">
        <f t="shared" ref="N11:N21" si="6">IF(A11="x",C11,0)</f>
        <v>0</v>
      </c>
    </row>
    <row r="12" spans="1:14" ht="16" customHeight="1">
      <c r="A12" s="1655"/>
      <c r="B12" s="342" t="s">
        <v>342</v>
      </c>
      <c r="C12" s="1563">
        <v>50</v>
      </c>
      <c r="D12" s="1692">
        <v>490</v>
      </c>
      <c r="E12" s="1692">
        <v>520</v>
      </c>
      <c r="F12" s="1692">
        <v>1086</v>
      </c>
      <c r="G12" s="1693">
        <v>464</v>
      </c>
      <c r="H12" s="1551">
        <f t="shared" si="1"/>
        <v>640</v>
      </c>
      <c r="I12" s="1552">
        <f t="shared" si="2"/>
        <v>464</v>
      </c>
      <c r="J12" s="1552">
        <f t="shared" si="3"/>
        <v>1086</v>
      </c>
      <c r="K12" s="1553">
        <f t="shared" si="0"/>
        <v>464</v>
      </c>
      <c r="L12" s="1554" t="b">
        <f t="shared" si="4"/>
        <v>0</v>
      </c>
      <c r="M12" s="230" t="str">
        <f t="shared" si="5"/>
        <v/>
      </c>
      <c r="N12" s="1714">
        <f t="shared" si="6"/>
        <v>0</v>
      </c>
    </row>
    <row r="13" spans="1:14" ht="16" customHeight="1">
      <c r="A13" s="1655"/>
      <c r="B13" s="342" t="s">
        <v>342</v>
      </c>
      <c r="C13" s="1563">
        <v>100</v>
      </c>
      <c r="D13" s="1692">
        <v>596</v>
      </c>
      <c r="E13" s="1692">
        <v>571</v>
      </c>
      <c r="F13" s="1692">
        <v>1194</v>
      </c>
      <c r="G13" s="1693">
        <v>663</v>
      </c>
      <c r="H13" s="1551">
        <f t="shared" si="1"/>
        <v>756</v>
      </c>
      <c r="I13" s="1552">
        <f t="shared" si="2"/>
        <v>571</v>
      </c>
      <c r="J13" s="1552">
        <f t="shared" si="3"/>
        <v>1194</v>
      </c>
      <c r="K13" s="1553">
        <f t="shared" si="0"/>
        <v>571</v>
      </c>
      <c r="L13" s="1554" t="b">
        <f t="shared" si="4"/>
        <v>0</v>
      </c>
      <c r="M13" s="230" t="str">
        <f t="shared" si="5"/>
        <v/>
      </c>
      <c r="N13" s="1714">
        <f t="shared" si="6"/>
        <v>0</v>
      </c>
    </row>
    <row r="14" spans="1:14" ht="16" customHeight="1">
      <c r="A14" s="1655"/>
      <c r="B14" s="342" t="s">
        <v>342</v>
      </c>
      <c r="C14" s="1694">
        <v>150</v>
      </c>
      <c r="D14" s="1692">
        <v>720</v>
      </c>
      <c r="E14" s="1692">
        <v>628</v>
      </c>
      <c r="F14" s="1692">
        <v>1445</v>
      </c>
      <c r="G14" s="1693">
        <v>828</v>
      </c>
      <c r="H14" s="1551">
        <f t="shared" si="1"/>
        <v>905.25</v>
      </c>
      <c r="I14" s="1552">
        <f t="shared" si="2"/>
        <v>628</v>
      </c>
      <c r="J14" s="1552">
        <f t="shared" si="3"/>
        <v>1445</v>
      </c>
      <c r="K14" s="1553">
        <f t="shared" si="0"/>
        <v>628</v>
      </c>
      <c r="L14" s="1554" t="b">
        <f t="shared" si="4"/>
        <v>0</v>
      </c>
      <c r="M14" s="230" t="str">
        <f t="shared" si="5"/>
        <v/>
      </c>
      <c r="N14" s="1714">
        <f t="shared" si="6"/>
        <v>0</v>
      </c>
    </row>
    <row r="15" spans="1:14" ht="16" customHeight="1">
      <c r="A15" s="1655"/>
      <c r="B15" s="342" t="s">
        <v>342</v>
      </c>
      <c r="C15" s="1563">
        <v>200</v>
      </c>
      <c r="D15" s="1692">
        <v>720</v>
      </c>
      <c r="E15" s="1692">
        <v>628</v>
      </c>
      <c r="F15" s="1692">
        <v>1804</v>
      </c>
      <c r="G15" s="1693">
        <v>1035</v>
      </c>
      <c r="H15" s="1551">
        <f t="shared" si="1"/>
        <v>1046.75</v>
      </c>
      <c r="I15" s="1552">
        <f t="shared" si="2"/>
        <v>628</v>
      </c>
      <c r="J15" s="1552">
        <f t="shared" si="3"/>
        <v>1804</v>
      </c>
      <c r="K15" s="1553">
        <f t="shared" si="0"/>
        <v>628</v>
      </c>
      <c r="L15" s="1554" t="b">
        <f t="shared" si="4"/>
        <v>0</v>
      </c>
      <c r="M15" s="230" t="str">
        <f t="shared" si="5"/>
        <v/>
      </c>
      <c r="N15" s="1714">
        <f t="shared" si="6"/>
        <v>0</v>
      </c>
    </row>
    <row r="16" spans="1:14" ht="16" customHeight="1">
      <c r="A16" s="1655"/>
      <c r="B16" s="342" t="s">
        <v>342</v>
      </c>
      <c r="C16" s="1563">
        <v>250</v>
      </c>
      <c r="D16" s="1692">
        <v>720</v>
      </c>
      <c r="E16" s="1692">
        <v>628</v>
      </c>
      <c r="F16" s="1692">
        <v>2168</v>
      </c>
      <c r="G16" s="1693">
        <v>1294</v>
      </c>
      <c r="H16" s="1551">
        <f t="shared" si="1"/>
        <v>1202.5</v>
      </c>
      <c r="I16" s="1552">
        <f t="shared" si="2"/>
        <v>628</v>
      </c>
      <c r="J16" s="1552">
        <f t="shared" si="3"/>
        <v>2168</v>
      </c>
      <c r="K16" s="1553">
        <f t="shared" si="0"/>
        <v>628</v>
      </c>
      <c r="L16" s="1554" t="b">
        <f t="shared" si="4"/>
        <v>0</v>
      </c>
      <c r="M16" s="230" t="str">
        <f t="shared" si="5"/>
        <v/>
      </c>
      <c r="N16" s="1714">
        <f t="shared" si="6"/>
        <v>0</v>
      </c>
    </row>
    <row r="17" spans="1:14" ht="16" customHeight="1">
      <c r="A17" s="1655"/>
      <c r="B17" s="342" t="s">
        <v>342</v>
      </c>
      <c r="C17" s="1563">
        <v>300</v>
      </c>
      <c r="D17" s="1692">
        <v>720</v>
      </c>
      <c r="E17" s="1692">
        <v>628</v>
      </c>
      <c r="F17" s="1692">
        <v>2168</v>
      </c>
      <c r="G17" s="1693">
        <v>1617</v>
      </c>
      <c r="H17" s="1551">
        <f t="shared" si="1"/>
        <v>1283.25</v>
      </c>
      <c r="I17" s="1552">
        <f t="shared" si="2"/>
        <v>628</v>
      </c>
      <c r="J17" s="1552">
        <f t="shared" si="3"/>
        <v>2168</v>
      </c>
      <c r="K17" s="1553">
        <f t="shared" si="0"/>
        <v>628</v>
      </c>
      <c r="L17" s="1554" t="b">
        <f t="shared" si="4"/>
        <v>0</v>
      </c>
      <c r="M17" s="230" t="str">
        <f t="shared" si="5"/>
        <v/>
      </c>
      <c r="N17" s="1714">
        <f t="shared" si="6"/>
        <v>0</v>
      </c>
    </row>
    <row r="18" spans="1:14" ht="16" customHeight="1">
      <c r="A18" s="1655"/>
      <c r="B18" s="342" t="s">
        <v>342</v>
      </c>
      <c r="C18" s="1563">
        <v>350</v>
      </c>
      <c r="D18" s="1692">
        <v>720</v>
      </c>
      <c r="E18" s="1692">
        <v>628</v>
      </c>
      <c r="F18" s="1692">
        <v>2168</v>
      </c>
      <c r="G18" s="1693">
        <v>2021</v>
      </c>
      <c r="H18" s="1551">
        <f t="shared" si="1"/>
        <v>1384.25</v>
      </c>
      <c r="I18" s="1552">
        <f t="shared" si="2"/>
        <v>628</v>
      </c>
      <c r="J18" s="1552">
        <f t="shared" si="3"/>
        <v>2168</v>
      </c>
      <c r="K18" s="1553">
        <f t="shared" si="0"/>
        <v>628</v>
      </c>
      <c r="L18" s="1554" t="b">
        <f t="shared" si="4"/>
        <v>0</v>
      </c>
      <c r="M18" s="230" t="str">
        <f t="shared" si="5"/>
        <v/>
      </c>
      <c r="N18" s="1714">
        <f t="shared" si="6"/>
        <v>0</v>
      </c>
    </row>
    <row r="19" spans="1:14" ht="16" customHeight="1">
      <c r="A19" s="1655"/>
      <c r="B19" s="342" t="s">
        <v>342</v>
      </c>
      <c r="C19" s="1563">
        <v>400</v>
      </c>
      <c r="D19" s="1692">
        <v>720</v>
      </c>
      <c r="E19" s="1692">
        <v>628</v>
      </c>
      <c r="F19" s="1695">
        <v>2168</v>
      </c>
      <c r="G19" s="1696">
        <v>2526</v>
      </c>
      <c r="H19" s="1551">
        <f t="shared" si="1"/>
        <v>1510.5</v>
      </c>
      <c r="I19" s="1552">
        <f t="shared" si="2"/>
        <v>628</v>
      </c>
      <c r="J19" s="1552">
        <f t="shared" si="3"/>
        <v>2526</v>
      </c>
      <c r="K19" s="1553">
        <f t="shared" si="0"/>
        <v>628</v>
      </c>
      <c r="L19" s="1554" t="b">
        <f t="shared" si="4"/>
        <v>0</v>
      </c>
      <c r="M19" s="230" t="str">
        <f t="shared" si="5"/>
        <v/>
      </c>
      <c r="N19" s="1714">
        <f t="shared" si="6"/>
        <v>0</v>
      </c>
    </row>
    <row r="20" spans="1:14" ht="16" customHeight="1">
      <c r="A20" s="1655"/>
      <c r="B20" s="342" t="s">
        <v>342</v>
      </c>
      <c r="C20" s="1563">
        <v>450</v>
      </c>
      <c r="D20" s="1692">
        <v>720</v>
      </c>
      <c r="E20" s="1692">
        <v>628</v>
      </c>
      <c r="F20" s="1695">
        <v>2168</v>
      </c>
      <c r="G20" s="1696">
        <v>3157</v>
      </c>
      <c r="H20" s="1551">
        <f t="shared" si="1"/>
        <v>1668.25</v>
      </c>
      <c r="I20" s="1552">
        <f t="shared" si="2"/>
        <v>628</v>
      </c>
      <c r="J20" s="1552">
        <f t="shared" si="3"/>
        <v>3157</v>
      </c>
      <c r="K20" s="1553">
        <f t="shared" si="0"/>
        <v>628</v>
      </c>
      <c r="L20" s="1554" t="b">
        <f t="shared" si="4"/>
        <v>0</v>
      </c>
      <c r="M20" s="230" t="str">
        <f t="shared" si="5"/>
        <v/>
      </c>
      <c r="N20" s="1714">
        <f t="shared" si="6"/>
        <v>0</v>
      </c>
    </row>
    <row r="21" spans="1:14" ht="16" customHeight="1">
      <c r="A21" s="1697"/>
      <c r="B21" s="872" t="s">
        <v>342</v>
      </c>
      <c r="C21" s="1698">
        <v>500</v>
      </c>
      <c r="D21" s="1699">
        <v>720</v>
      </c>
      <c r="E21" s="1700">
        <v>628</v>
      </c>
      <c r="F21" s="1701">
        <v>2168</v>
      </c>
      <c r="G21" s="1702">
        <v>3946</v>
      </c>
      <c r="H21" s="1551">
        <f t="shared" si="1"/>
        <v>1865.5</v>
      </c>
      <c r="I21" s="1552">
        <f t="shared" si="2"/>
        <v>628</v>
      </c>
      <c r="J21" s="1552">
        <f t="shared" si="3"/>
        <v>3946</v>
      </c>
      <c r="K21" s="1553">
        <f t="shared" si="0"/>
        <v>628</v>
      </c>
      <c r="L21" s="1554" t="b">
        <f>IF(A21="x",IF($F$4="x",K21/$G$4,K21))</f>
        <v>0</v>
      </c>
      <c r="M21" s="230" t="str">
        <f t="shared" si="5"/>
        <v/>
      </c>
      <c r="N21" s="1714">
        <f t="shared" si="6"/>
        <v>0</v>
      </c>
    </row>
    <row r="22" spans="1:14" ht="16" customHeight="1">
      <c r="A22" s="2612" t="s">
        <v>1199</v>
      </c>
      <c r="B22" s="2613"/>
      <c r="C22" s="2613"/>
      <c r="D22" s="2613"/>
      <c r="E22" s="2613"/>
      <c r="F22" s="2613"/>
      <c r="G22" s="2613"/>
      <c r="H22" s="2613"/>
      <c r="I22" s="2613"/>
      <c r="J22" s="2613"/>
      <c r="K22" s="2613"/>
      <c r="L22" s="2614"/>
      <c r="M22" s="230" t="e">
        <f>IF(#REF!="x",C22,"")</f>
        <v>#REF!</v>
      </c>
      <c r="N22" s="1715">
        <f>SUM(N10:N21)</f>
        <v>0</v>
      </c>
    </row>
    <row r="23" spans="1:14" ht="16" customHeight="1">
      <c r="A23" s="2615"/>
      <c r="B23" s="2616"/>
      <c r="C23" s="2616"/>
      <c r="D23" s="2616"/>
      <c r="E23" s="2616"/>
      <c r="F23" s="2616"/>
      <c r="G23" s="2616"/>
      <c r="H23" s="2616"/>
      <c r="I23" s="2616"/>
      <c r="J23" s="2616"/>
      <c r="K23" s="2616"/>
      <c r="L23" s="2617"/>
      <c r="M23" s="230" t="str">
        <f>IF(A22="x",C23,"")</f>
        <v/>
      </c>
      <c r="N23" s="230"/>
    </row>
    <row r="24" spans="1:14" ht="16" customHeight="1">
      <c r="A24" s="2615"/>
      <c r="B24" s="2616"/>
      <c r="C24" s="2616"/>
      <c r="D24" s="2616"/>
      <c r="E24" s="2616"/>
      <c r="F24" s="2616"/>
      <c r="G24" s="2616"/>
      <c r="H24" s="2616"/>
      <c r="I24" s="2616"/>
      <c r="J24" s="2616"/>
      <c r="K24" s="2616"/>
      <c r="L24" s="2617"/>
      <c r="M24" s="230" t="str">
        <f t="shared" si="5"/>
        <v/>
      </c>
      <c r="N24" s="230"/>
    </row>
    <row r="25" spans="1:14" ht="16" customHeight="1" thickBot="1">
      <c r="A25" s="2615"/>
      <c r="B25" s="2618"/>
      <c r="C25" s="2618"/>
      <c r="D25" s="2618"/>
      <c r="E25" s="2618"/>
      <c r="F25" s="2618"/>
      <c r="G25" s="2618"/>
      <c r="H25" s="2618"/>
      <c r="I25" s="2618"/>
      <c r="J25" s="2618"/>
      <c r="K25" s="2618"/>
      <c r="L25" s="2617"/>
      <c r="M25" s="230" t="str">
        <f t="shared" si="5"/>
        <v/>
      </c>
      <c r="N25" s="230"/>
    </row>
    <row r="26" spans="1:14" ht="22" customHeight="1" thickTop="1">
      <c r="A26" s="2619" t="s">
        <v>1159</v>
      </c>
      <c r="B26" s="2620"/>
      <c r="C26" s="2620"/>
      <c r="D26" s="2620"/>
      <c r="E26" s="2620"/>
      <c r="F26" s="2620"/>
      <c r="G26" s="1703">
        <v>5</v>
      </c>
      <c r="H26" s="2621" t="s">
        <v>343</v>
      </c>
      <c r="I26" s="2621"/>
      <c r="J26" s="2621"/>
      <c r="K26" s="1704"/>
      <c r="L26" s="1705">
        <f>SUM(L10:L21)*G26</f>
        <v>0</v>
      </c>
      <c r="M26" s="230"/>
      <c r="N26" s="230"/>
    </row>
    <row r="27" spans="1:14" ht="22" customHeight="1">
      <c r="A27" s="1716"/>
      <c r="B27" s="1706"/>
      <c r="C27" s="1706"/>
      <c r="D27" s="1706"/>
      <c r="E27" s="1707"/>
      <c r="F27" s="1708" t="s">
        <v>1160</v>
      </c>
      <c r="G27" s="1709">
        <v>0.3</v>
      </c>
      <c r="H27" s="1710"/>
      <c r="I27" s="1710"/>
      <c r="J27" s="1710"/>
      <c r="K27" s="1711"/>
      <c r="L27" s="1712">
        <f>L26*(1-G27)</f>
        <v>0</v>
      </c>
      <c r="M27" s="1713"/>
      <c r="N27" s="1713"/>
    </row>
    <row r="28" spans="1:14" ht="16" customHeight="1">
      <c r="A28" s="2622" t="s">
        <v>1238</v>
      </c>
      <c r="B28" s="2622"/>
      <c r="C28" s="2622"/>
      <c r="D28" s="2622"/>
      <c r="E28" s="2622"/>
      <c r="F28" s="2622"/>
      <c r="G28" s="2622"/>
      <c r="H28" s="2622"/>
      <c r="I28" s="2622"/>
      <c r="J28" s="2622"/>
      <c r="K28" s="2622"/>
      <c r="L28" s="2622"/>
    </row>
    <row r="29" spans="1:14" ht="16" customHeight="1">
      <c r="A29" s="2623"/>
      <c r="B29" s="2623"/>
      <c r="C29" s="2623"/>
      <c r="D29" s="2623"/>
      <c r="E29" s="2623"/>
      <c r="F29" s="2623"/>
      <c r="G29" s="2623"/>
      <c r="H29" s="2623"/>
      <c r="I29" s="2623"/>
      <c r="J29" s="2623"/>
      <c r="K29" s="2623"/>
      <c r="L29" s="2623"/>
    </row>
    <row r="30" spans="1:14" ht="16" customHeight="1">
      <c r="F30" s="230"/>
      <c r="G30" s="230"/>
    </row>
  </sheetData>
  <mergeCells count="14">
    <mergeCell ref="A22:L25"/>
    <mergeCell ref="A26:F26"/>
    <mergeCell ref="H26:J26"/>
    <mergeCell ref="A28:L29"/>
    <mergeCell ref="B2:L2"/>
    <mergeCell ref="C4:E4"/>
    <mergeCell ref="K4:K8"/>
    <mergeCell ref="L4:L8"/>
    <mergeCell ref="C5:C7"/>
    <mergeCell ref="D5:F5"/>
    <mergeCell ref="D6:F6"/>
    <mergeCell ref="D7:F7"/>
    <mergeCell ref="C8:C9"/>
    <mergeCell ref="A2:A9"/>
  </mergeCells>
  <phoneticPr fontId="50" type="noConversion"/>
  <conditionalFormatting sqref="L10:L21">
    <cfRule type="cellIs" dxfId="49" priority="0" stopIfTrue="1" operator="equal">
      <formula>FALSE</formula>
    </cfRule>
  </conditionalFormatting>
  <pageMargins left="1.03" right="0.75000000000000011" top="0.75000000000000011" bottom="0.78000000000000014" header="0.5" footer="0.5"/>
  <pageSetup paperSize="10" scale="98" orientation="landscape" horizontalDpi="4294967292" verticalDpi="4294967292"/>
  <headerFooter>
    <oddHeader>&amp;L© eric delamarre / GPLA - tous droits réservés - 05 décembre 2020_x000D_</oddHeader>
  </headerFooter>
  <extLst>
    <ext xmlns:mx="http://schemas.microsoft.com/office/mac/excel/2008/main" uri="http://schemas.microsoft.com/office/mac/excel/2008/main">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F139"/>
  <sheetViews>
    <sheetView showGridLines="0" view="pageLayout" topLeftCell="A5" zoomScale="84" zoomScalePageLayoutView="84" workbookViewId="0">
      <selection activeCell="C72" sqref="C72"/>
    </sheetView>
  </sheetViews>
  <sheetFormatPr baseColWidth="10" defaultRowHeight="18"/>
  <cols>
    <col min="1" max="1" width="15.25" style="231" customWidth="1"/>
    <col min="2" max="2" width="16.125" customWidth="1"/>
    <col min="3" max="3" width="14.5" style="230" customWidth="1"/>
    <col min="4" max="4" width="12.625" style="230" customWidth="1"/>
    <col min="5" max="5" width="14.25" customWidth="1"/>
    <col min="6" max="6" width="12.75" style="230" customWidth="1"/>
    <col min="7" max="7" width="17.125" customWidth="1"/>
    <col min="8" max="8" width="10" customWidth="1"/>
    <col min="9" max="9" width="49.875" customWidth="1"/>
    <col min="10" max="11" width="9.25" customWidth="1"/>
    <col min="12" max="12" width="9.25" hidden="1" customWidth="1"/>
    <col min="13" max="13" width="9.25" customWidth="1"/>
    <col min="14" max="14" width="9.25" hidden="1" customWidth="1"/>
    <col min="15" max="15" width="9.25" customWidth="1"/>
    <col min="16" max="16" width="9.25" hidden="1" customWidth="1"/>
    <col min="17" max="17" width="9.25" customWidth="1"/>
    <col min="18" max="18" width="9.25" hidden="1" customWidth="1"/>
    <col min="19" max="19" width="10" customWidth="1"/>
    <col min="20" max="20" width="10" hidden="1" customWidth="1"/>
    <col min="21" max="21" width="14.625" customWidth="1"/>
    <col min="22" max="23" width="14.75" customWidth="1"/>
    <col min="24" max="24" width="11.625" customWidth="1"/>
    <col min="25" max="25" width="3" customWidth="1"/>
    <col min="26" max="29" width="11.75" hidden="1" customWidth="1"/>
    <col min="30" max="30" width="0" hidden="1" customWidth="1"/>
    <col min="31" max="31" width="3.875" customWidth="1"/>
    <col min="32" max="32" width="0" hidden="1" customWidth="1"/>
  </cols>
  <sheetData>
    <row r="1" spans="1:29" ht="25" customHeight="1">
      <c r="A1" s="2711" t="s">
        <v>7</v>
      </c>
      <c r="B1" s="2711"/>
      <c r="C1" s="2711"/>
      <c r="D1" s="2711"/>
      <c r="E1" s="2711"/>
      <c r="F1" s="2711"/>
      <c r="G1" s="2711"/>
    </row>
    <row r="2" spans="1:29" s="5" customFormat="1" ht="42" customHeight="1">
      <c r="A2" s="2290" t="s">
        <v>43</v>
      </c>
      <c r="B2" s="2660"/>
      <c r="C2" s="2660"/>
      <c r="D2" s="2660"/>
      <c r="E2" s="2660"/>
      <c r="F2" s="2660"/>
      <c r="G2" s="577">
        <f>ROUND(SUM(G7:G26),0)</f>
        <v>0</v>
      </c>
      <c r="H2" s="328"/>
      <c r="I2" s="2712" t="s">
        <v>963</v>
      </c>
      <c r="J2" s="2154"/>
      <c r="K2" s="2154"/>
      <c r="L2" s="2154"/>
      <c r="M2" s="2154"/>
      <c r="N2" s="2154"/>
      <c r="O2" s="2154"/>
      <c r="P2" s="2154"/>
      <c r="Q2" s="2154"/>
      <c r="R2" s="2154"/>
      <c r="S2" s="2154"/>
      <c r="T2" s="2154"/>
      <c r="U2" s="2713"/>
      <c r="V2" s="1182" t="s">
        <v>1007</v>
      </c>
      <c r="W2" s="508"/>
      <c r="X2" s="328"/>
      <c r="Y2" s="328"/>
    </row>
    <row r="3" spans="1:29" s="5" customFormat="1" ht="22" customHeight="1">
      <c r="A3" s="2648" t="s">
        <v>688</v>
      </c>
      <c r="B3" s="2649"/>
      <c r="C3" s="2654">
        <v>0</v>
      </c>
      <c r="D3" s="2685">
        <f>IF(C3=0,0,IF(C3&lt;200000,"Valeurs non officielles recalculées sur la base du barème",0))</f>
        <v>0</v>
      </c>
      <c r="E3" s="2686"/>
      <c r="F3" s="2687"/>
      <c r="G3" s="2668" t="s">
        <v>73</v>
      </c>
      <c r="H3"/>
      <c r="I3" s="2700" t="s">
        <v>808</v>
      </c>
      <c r="J3" s="2701"/>
      <c r="K3" s="2701"/>
      <c r="L3" s="2701"/>
      <c r="M3" s="2701"/>
      <c r="N3" s="2701"/>
      <c r="O3" s="2701"/>
      <c r="P3" s="2701"/>
      <c r="Q3" s="2701"/>
      <c r="R3" s="2701"/>
      <c r="S3" s="2701"/>
      <c r="T3" s="2701"/>
      <c r="U3" s="2702"/>
      <c r="V3" s="364" t="s">
        <v>200</v>
      </c>
      <c r="W3" s="498" t="s">
        <v>199</v>
      </c>
      <c r="X3" s="541"/>
      <c r="Y3"/>
    </row>
    <row r="4" spans="1:29" s="129" customFormat="1" ht="19" customHeight="1">
      <c r="A4" s="2650"/>
      <c r="B4" s="2651"/>
      <c r="C4" s="2709"/>
      <c r="D4" s="2645" t="s">
        <v>185</v>
      </c>
      <c r="E4" s="2646"/>
      <c r="F4" s="2647"/>
      <c r="G4" s="2658"/>
      <c r="H4"/>
      <c r="I4" s="2703" t="str">
        <f>I48</f>
        <v xml:space="preserve"> Poster, PLV, affichettes, catalogues et brochures cumulés</v>
      </c>
      <c r="J4" s="2704"/>
      <c r="K4" s="2704"/>
      <c r="L4" s="2704"/>
      <c r="M4" s="2704"/>
      <c r="N4" s="2704"/>
      <c r="O4" s="2704"/>
      <c r="P4" s="2704"/>
      <c r="Q4" s="2704"/>
      <c r="R4" s="2704"/>
      <c r="S4" s="2704"/>
      <c r="T4" s="2704"/>
      <c r="U4" s="2705"/>
      <c r="V4" s="365" t="s">
        <v>696</v>
      </c>
      <c r="W4" s="498" t="s">
        <v>199</v>
      </c>
      <c r="X4" s="541"/>
      <c r="Y4"/>
    </row>
    <row r="5" spans="1:29" s="129" customFormat="1" ht="29" customHeight="1">
      <c r="A5" s="2652"/>
      <c r="B5" s="2653"/>
      <c r="C5" s="2710"/>
      <c r="D5" s="2722" t="s">
        <v>278</v>
      </c>
      <c r="E5" s="2723"/>
      <c r="F5" s="2724"/>
      <c r="G5" s="1167">
        <v>2</v>
      </c>
      <c r="H5"/>
      <c r="I5" s="541"/>
      <c r="J5" s="541"/>
      <c r="K5" s="541"/>
      <c r="L5" s="541"/>
      <c r="M5" s="541"/>
      <c r="N5" s="541"/>
      <c r="O5" s="541"/>
      <c r="P5" s="541"/>
      <c r="Q5" s="541"/>
      <c r="R5" s="541"/>
      <c r="S5" s="541"/>
      <c r="T5" s="541"/>
      <c r="U5" s="541"/>
      <c r="V5" s="541"/>
      <c r="W5" s="541"/>
      <c r="X5" s="541"/>
      <c r="Y5"/>
    </row>
    <row r="6" spans="1:29" s="1159" customFormat="1" hidden="1">
      <c r="A6" s="1158"/>
      <c r="B6" s="1168"/>
      <c r="C6" s="1169"/>
      <c r="D6" s="578"/>
      <c r="E6" s="578"/>
      <c r="F6" s="578"/>
      <c r="G6" s="1170"/>
      <c r="H6"/>
      <c r="I6" s="541"/>
      <c r="J6" s="541"/>
      <c r="K6" s="541"/>
      <c r="L6" s="541"/>
      <c r="M6" s="541"/>
      <c r="N6" s="541"/>
      <c r="O6" s="541"/>
      <c r="P6" s="541"/>
      <c r="Q6" s="541"/>
      <c r="R6" s="541"/>
      <c r="S6" s="541"/>
      <c r="T6" s="541"/>
      <c r="U6" s="541"/>
      <c r="V6" s="541"/>
      <c r="W6" s="541"/>
      <c r="X6" s="541"/>
      <c r="Y6"/>
      <c r="Z6" s="1171"/>
      <c r="AA6" s="1171"/>
      <c r="AB6" s="1171"/>
      <c r="AC6" s="1172"/>
    </row>
    <row r="7" spans="1:29" s="1159" customFormat="1" hidden="1">
      <c r="A7" s="1173">
        <v>0</v>
      </c>
      <c r="B7" s="1173">
        <v>399</v>
      </c>
      <c r="C7" s="1165">
        <f>IF($C$3&lt;A7,0,IF($C$3&gt;B7,0,$C$3))</f>
        <v>0</v>
      </c>
      <c r="D7" s="1165">
        <f>IF(C7&gt;0,6,0)</f>
        <v>0</v>
      </c>
      <c r="E7" s="1165"/>
      <c r="F7" s="1165">
        <f>IF(D7=0,0,((C7-A7)/1000*E7)+D7)</f>
        <v>0</v>
      </c>
      <c r="G7" s="363">
        <f t="shared" ref="G7:G15" si="0">F7*$G$5</f>
        <v>0</v>
      </c>
      <c r="H7"/>
      <c r="I7" s="541"/>
      <c r="J7" s="541"/>
      <c r="K7" s="541"/>
      <c r="L7" s="541"/>
      <c r="M7" s="541"/>
      <c r="N7" s="541"/>
      <c r="O7" s="541"/>
      <c r="P7" s="541"/>
      <c r="Q7" s="541"/>
      <c r="R7" s="541"/>
      <c r="S7" s="541"/>
      <c r="T7" s="541"/>
      <c r="U7" s="541"/>
      <c r="V7" s="541"/>
      <c r="W7" s="541"/>
      <c r="X7" s="541"/>
      <c r="Y7"/>
      <c r="Z7" s="1171"/>
      <c r="AA7" s="1171"/>
      <c r="AB7" s="1171"/>
      <c r="AC7" s="1172"/>
    </row>
    <row r="8" spans="1:29" s="1159" customFormat="1" hidden="1">
      <c r="A8" s="1165">
        <v>400</v>
      </c>
      <c r="B8" s="1174">
        <f t="shared" ref="B8:B14" si="1">A9-1</f>
        <v>799</v>
      </c>
      <c r="C8" s="1165">
        <f t="shared" ref="C8:C15" si="2">IF($C$3&lt;A8,0,IF($C$3&gt;B8,0,$C$3))</f>
        <v>0</v>
      </c>
      <c r="D8" s="1165">
        <f>IF(C8&gt;0,6,0)</f>
        <v>0</v>
      </c>
      <c r="E8" s="1165">
        <f>IF(D8=0,0,7.5)</f>
        <v>0</v>
      </c>
      <c r="F8" s="1165">
        <f>IF(D8=0,0,((C8-A8)/1000*E8)+D8)</f>
        <v>0</v>
      </c>
      <c r="G8" s="363">
        <f t="shared" si="0"/>
        <v>0</v>
      </c>
      <c r="H8"/>
      <c r="I8" s="541"/>
      <c r="J8" s="541"/>
      <c r="K8" s="541"/>
      <c r="L8" s="541"/>
      <c r="M8" s="541"/>
      <c r="N8" s="541"/>
      <c r="O8" s="541"/>
      <c r="P8" s="541"/>
      <c r="Q8" s="541"/>
      <c r="R8" s="541"/>
      <c r="S8" s="541"/>
      <c r="T8" s="541"/>
      <c r="U8" s="541"/>
      <c r="V8" s="541"/>
      <c r="W8" s="541"/>
      <c r="X8" s="541"/>
      <c r="Y8"/>
      <c r="Z8" s="1171"/>
      <c r="AA8" s="1171"/>
      <c r="AB8" s="1171"/>
      <c r="AC8" s="1172"/>
    </row>
    <row r="9" spans="1:29" s="1159" customFormat="1" hidden="1">
      <c r="A9" s="1165">
        <v>800</v>
      </c>
      <c r="B9" s="1174">
        <f t="shared" si="1"/>
        <v>1599</v>
      </c>
      <c r="C9" s="1165">
        <f t="shared" si="2"/>
        <v>0</v>
      </c>
      <c r="D9" s="1165">
        <f>IF(C9&gt;0,10,0)</f>
        <v>0</v>
      </c>
      <c r="E9" s="1165">
        <f>IF(D9=0,0,3.75)</f>
        <v>0</v>
      </c>
      <c r="F9" s="1165">
        <f t="shared" ref="F9:F14" si="3">IF(D9=0,0,((C9-A9)/1000*E9)+D9)</f>
        <v>0</v>
      </c>
      <c r="G9" s="363">
        <f t="shared" si="0"/>
        <v>0</v>
      </c>
      <c r="H9"/>
      <c r="I9" s="541"/>
      <c r="J9" s="541"/>
      <c r="K9" s="541"/>
      <c r="L9" s="541"/>
      <c r="M9" s="541"/>
      <c r="N9" s="541"/>
      <c r="O9" s="541"/>
      <c r="P9" s="541"/>
      <c r="Q9" s="541"/>
      <c r="R9" s="541"/>
      <c r="S9" s="541"/>
      <c r="T9" s="541"/>
      <c r="U9" s="541"/>
      <c r="V9" s="541"/>
      <c r="W9" s="541"/>
      <c r="X9" s="541"/>
      <c r="Y9"/>
      <c r="Z9" s="1171"/>
      <c r="AA9" s="1171"/>
      <c r="AB9" s="1171"/>
      <c r="AC9" s="1172"/>
    </row>
    <row r="10" spans="1:29" s="1159" customFormat="1" hidden="1">
      <c r="A10" s="1165">
        <v>1600</v>
      </c>
      <c r="B10" s="1174">
        <f t="shared" si="1"/>
        <v>3124</v>
      </c>
      <c r="C10" s="1165">
        <f t="shared" si="2"/>
        <v>0</v>
      </c>
      <c r="D10" s="1165">
        <f>IF(C10&gt;0,15,0)</f>
        <v>0</v>
      </c>
      <c r="E10" s="1165">
        <f>IF(D10=0,0,3.27)</f>
        <v>0</v>
      </c>
      <c r="F10" s="1165">
        <f t="shared" si="3"/>
        <v>0</v>
      </c>
      <c r="G10" s="363">
        <f t="shared" si="0"/>
        <v>0</v>
      </c>
      <c r="H10"/>
      <c r="I10" s="541"/>
      <c r="J10" s="541"/>
      <c r="K10" s="541"/>
      <c r="L10" s="541"/>
      <c r="M10" s="541"/>
      <c r="N10" s="541"/>
      <c r="O10" s="541"/>
      <c r="P10" s="541"/>
      <c r="Q10" s="541"/>
      <c r="R10" s="541"/>
      <c r="S10" s="541"/>
      <c r="T10" s="541"/>
      <c r="U10" s="541"/>
      <c r="V10" s="541"/>
      <c r="W10" s="541"/>
      <c r="X10" s="541"/>
      <c r="Y10"/>
      <c r="Z10" s="1171"/>
      <c r="AA10" s="1171"/>
      <c r="AB10" s="1171"/>
      <c r="AC10" s="1172"/>
    </row>
    <row r="11" spans="1:29" s="1159" customFormat="1" hidden="1">
      <c r="A11" s="1165">
        <f t="shared" ref="A11:A16" si="4">A12/2</f>
        <v>3125</v>
      </c>
      <c r="B11" s="1174">
        <f t="shared" si="1"/>
        <v>6249</v>
      </c>
      <c r="C11" s="1165">
        <f>IF($C$3&lt;A11,0,IF($C$3&gt;B11,0,$C$3))</f>
        <v>0</v>
      </c>
      <c r="D11" s="1165">
        <f>IF(C11&gt;0,22,0)</f>
        <v>0</v>
      </c>
      <c r="E11" s="1165">
        <f>IF(D11=0,0,4.48)</f>
        <v>0</v>
      </c>
      <c r="F11" s="1165">
        <f t="shared" si="3"/>
        <v>0</v>
      </c>
      <c r="G11" s="363">
        <f t="shared" si="0"/>
        <v>0</v>
      </c>
      <c r="H11"/>
      <c r="I11" s="541"/>
      <c r="J11" s="541"/>
      <c r="K11" s="541"/>
      <c r="L11" s="541"/>
      <c r="M11" s="541"/>
      <c r="N11" s="541"/>
      <c r="O11" s="541"/>
      <c r="P11" s="541"/>
      <c r="Q11" s="541"/>
      <c r="R11" s="541"/>
      <c r="S11" s="541"/>
      <c r="T11" s="541"/>
      <c r="U11" s="541"/>
      <c r="V11" s="541"/>
      <c r="W11" s="541"/>
      <c r="X11" s="541"/>
      <c r="Y11"/>
      <c r="Z11" s="1171"/>
      <c r="AA11" s="1171"/>
      <c r="AB11" s="1171"/>
      <c r="AC11" s="1172"/>
    </row>
    <row r="12" spans="1:29" s="1159" customFormat="1" hidden="1">
      <c r="A12" s="1165">
        <f t="shared" si="4"/>
        <v>6250</v>
      </c>
      <c r="B12" s="1174">
        <f t="shared" si="1"/>
        <v>12499</v>
      </c>
      <c r="C12" s="1165">
        <f t="shared" si="2"/>
        <v>0</v>
      </c>
      <c r="D12" s="1165">
        <f>IF(C12&gt;0,33,0)</f>
        <v>0</v>
      </c>
      <c r="E12" s="1165">
        <f>IF(D12=0,0,2.24)</f>
        <v>0</v>
      </c>
      <c r="F12" s="1165">
        <f t="shared" si="3"/>
        <v>0</v>
      </c>
      <c r="G12" s="363">
        <f t="shared" si="0"/>
        <v>0</v>
      </c>
      <c r="H12"/>
      <c r="I12" s="541"/>
      <c r="J12" s="541"/>
      <c r="K12" s="541"/>
      <c r="L12" s="541"/>
      <c r="M12" s="541"/>
      <c r="N12" s="541"/>
      <c r="O12" s="541"/>
      <c r="P12" s="541"/>
      <c r="Q12" s="541"/>
      <c r="R12" s="541"/>
      <c r="S12" s="541"/>
      <c r="T12" s="541"/>
      <c r="U12" s="541"/>
      <c r="V12" s="541"/>
      <c r="W12" s="541"/>
      <c r="X12" s="541"/>
      <c r="Y12"/>
      <c r="Z12" s="1171"/>
      <c r="AA12" s="1171"/>
      <c r="AB12" s="1171"/>
      <c r="AC12" s="1172"/>
    </row>
    <row r="13" spans="1:29" s="1159" customFormat="1" hidden="1">
      <c r="A13" s="1165">
        <f t="shared" si="4"/>
        <v>12500</v>
      </c>
      <c r="B13" s="1174">
        <f t="shared" si="1"/>
        <v>24999</v>
      </c>
      <c r="C13" s="1165">
        <f t="shared" si="2"/>
        <v>0</v>
      </c>
      <c r="D13" s="1165">
        <f>IF(C13&gt;0,50,0)</f>
        <v>0</v>
      </c>
      <c r="E13" s="1165">
        <f>IF(D13=0,0,1.92)</f>
        <v>0</v>
      </c>
      <c r="F13" s="1165">
        <f t="shared" si="3"/>
        <v>0</v>
      </c>
      <c r="G13" s="363">
        <f t="shared" si="0"/>
        <v>0</v>
      </c>
      <c r="H13"/>
      <c r="I13" s="541"/>
      <c r="J13" s="541"/>
      <c r="K13" s="541"/>
      <c r="L13" s="541"/>
      <c r="M13" s="541"/>
      <c r="N13" s="541"/>
      <c r="O13" s="541"/>
      <c r="P13" s="541"/>
      <c r="Q13" s="541"/>
      <c r="R13" s="541"/>
      <c r="S13" s="541"/>
      <c r="T13" s="541"/>
      <c r="U13" s="541"/>
      <c r="V13" s="541"/>
      <c r="W13" s="541"/>
      <c r="X13" s="541"/>
      <c r="Y13"/>
      <c r="Z13" s="1171"/>
      <c r="AA13" s="1171"/>
      <c r="AB13" s="1171"/>
      <c r="AC13" s="1172"/>
    </row>
    <row r="14" spans="1:29" s="1159" customFormat="1" hidden="1">
      <c r="A14" s="1165">
        <f t="shared" si="4"/>
        <v>25000</v>
      </c>
      <c r="B14" s="1174">
        <f t="shared" si="1"/>
        <v>49999</v>
      </c>
      <c r="C14" s="1165">
        <f t="shared" si="2"/>
        <v>0</v>
      </c>
      <c r="D14" s="1165">
        <f>IF(C14&gt;0,74,0)</f>
        <v>0</v>
      </c>
      <c r="E14" s="1165">
        <f>IF(D14=0,0,1.48)</f>
        <v>0</v>
      </c>
      <c r="F14" s="1165">
        <f t="shared" si="3"/>
        <v>0</v>
      </c>
      <c r="G14" s="363">
        <f t="shared" si="0"/>
        <v>0</v>
      </c>
      <c r="H14"/>
      <c r="I14" s="541"/>
      <c r="J14" s="541"/>
      <c r="K14" s="541"/>
      <c r="L14" s="541"/>
      <c r="M14" s="541"/>
      <c r="N14" s="541"/>
      <c r="O14" s="541"/>
      <c r="P14" s="541"/>
      <c r="Q14" s="541"/>
      <c r="R14" s="541"/>
      <c r="S14" s="541"/>
      <c r="T14" s="541"/>
      <c r="U14" s="541"/>
      <c r="V14" s="541"/>
      <c r="W14" s="541"/>
      <c r="X14" s="541"/>
      <c r="Y14"/>
      <c r="Z14" s="1171"/>
      <c r="AA14" s="1171"/>
      <c r="AB14" s="1171"/>
      <c r="AC14" s="1172"/>
    </row>
    <row r="15" spans="1:29" s="1159" customFormat="1" hidden="1">
      <c r="A15" s="1165">
        <f t="shared" si="4"/>
        <v>50000</v>
      </c>
      <c r="B15" s="1174">
        <f>A16-1</f>
        <v>99999</v>
      </c>
      <c r="C15" s="1165">
        <f t="shared" si="2"/>
        <v>0</v>
      </c>
      <c r="D15" s="1165">
        <f>IF(C15&gt;0,111,0)</f>
        <v>0</v>
      </c>
      <c r="E15" s="1165">
        <f>IF(D15=0,0,1.12)</f>
        <v>0</v>
      </c>
      <c r="F15" s="1165">
        <f>IF(D15=0,0,((C15-A15)/1000*E15)+D15)</f>
        <v>0</v>
      </c>
      <c r="G15" s="363">
        <f t="shared" si="0"/>
        <v>0</v>
      </c>
      <c r="H15"/>
      <c r="I15" s="541"/>
      <c r="J15" s="541"/>
      <c r="K15" s="541"/>
      <c r="L15" s="541"/>
      <c r="M15" s="541"/>
      <c r="N15" s="541"/>
      <c r="O15" s="541"/>
      <c r="P15" s="541"/>
      <c r="Q15" s="541"/>
      <c r="R15" s="541"/>
      <c r="S15" s="541"/>
      <c r="T15" s="541"/>
      <c r="U15" s="541"/>
      <c r="V15" s="541"/>
      <c r="W15" s="541"/>
      <c r="X15" s="541"/>
      <c r="Y15"/>
      <c r="Z15" s="1171"/>
      <c r="AA15" s="1171"/>
      <c r="AB15" s="1171"/>
      <c r="AC15" s="1172"/>
    </row>
    <row r="16" spans="1:29" s="5" customFormat="1" hidden="1">
      <c r="A16" s="1166">
        <f t="shared" si="4"/>
        <v>100000</v>
      </c>
      <c r="B16" s="1175">
        <v>199999</v>
      </c>
      <c r="C16" s="1165">
        <f>IF($C$3&lt;A16,0,IF($C$3&gt;B16,0,$C$3))</f>
        <v>0</v>
      </c>
      <c r="D16" s="1165">
        <f>IF(C16&gt;0,167,0)</f>
        <v>0</v>
      </c>
      <c r="E16" s="1165">
        <f>IF(D16=0,0,0.83)</f>
        <v>0</v>
      </c>
      <c r="F16" s="1165">
        <f>IF(D16=0,0,((C16-A16)/1000*E16)+D16)</f>
        <v>0</v>
      </c>
      <c r="G16" s="363">
        <f>F16*$G$5</f>
        <v>0</v>
      </c>
      <c r="H16"/>
      <c r="I16" s="541"/>
      <c r="J16" s="541"/>
      <c r="K16" s="541"/>
      <c r="L16" s="541"/>
      <c r="M16" s="541"/>
      <c r="N16" s="541"/>
      <c r="O16" s="541"/>
      <c r="P16" s="541"/>
      <c r="Q16" s="541"/>
      <c r="R16" s="541"/>
      <c r="S16" s="541"/>
      <c r="T16" s="541"/>
      <c r="U16" s="541"/>
      <c r="V16" s="541"/>
      <c r="W16" s="541"/>
      <c r="X16" s="541"/>
      <c r="Y16"/>
    </row>
    <row r="17" spans="1:32" s="5" customFormat="1" hidden="1">
      <c r="A17" s="354">
        <v>200000</v>
      </c>
      <c r="B17" s="355">
        <v>399999</v>
      </c>
      <c r="C17" s="356">
        <f>IF(C3&lt;A17,0,IF(C3&gt;B17,0,C3))</f>
        <v>0</v>
      </c>
      <c r="D17" s="356">
        <f>IF(C17&gt;0,250,0)</f>
        <v>0</v>
      </c>
      <c r="E17" s="356">
        <f>IF(D17=0,0,0.000625)</f>
        <v>0</v>
      </c>
      <c r="F17" s="356">
        <f>IF(D17=0,0,((C17-A17)*E17)+D17)</f>
        <v>0</v>
      </c>
      <c r="G17" s="357">
        <f>F17*G5</f>
        <v>0</v>
      </c>
      <c r="H17"/>
      <c r="I17" s="541"/>
      <c r="J17" s="541"/>
      <c r="K17" s="541"/>
      <c r="L17" s="541"/>
      <c r="M17" s="541"/>
      <c r="N17" s="541"/>
      <c r="O17" s="541"/>
      <c r="P17" s="541"/>
      <c r="Q17" s="541"/>
      <c r="R17" s="541"/>
      <c r="S17" s="541"/>
      <c r="T17" s="541"/>
      <c r="U17" s="541"/>
      <c r="V17" s="541"/>
      <c r="W17" s="541"/>
      <c r="X17" s="541"/>
      <c r="Y17"/>
    </row>
    <row r="18" spans="1:32" s="5" customFormat="1" hidden="1">
      <c r="A18" s="354">
        <v>400000</v>
      </c>
      <c r="B18" s="355">
        <v>799999</v>
      </c>
      <c r="C18" s="356">
        <f>IF(C3&lt;A18,0,IF(C3&gt;B18,0,C3))</f>
        <v>0</v>
      </c>
      <c r="D18" s="356">
        <f>IF(C18&gt;0,375,0)</f>
        <v>0</v>
      </c>
      <c r="E18" s="356">
        <f>IF(D18=0,0,0.00047)</f>
        <v>0</v>
      </c>
      <c r="F18" s="356">
        <f t="shared" ref="F18:F25" si="5">IF(D18=0,0,((C18-A18)*E18)+D18)</f>
        <v>0</v>
      </c>
      <c r="G18" s="357">
        <f>F18*G5</f>
        <v>0</v>
      </c>
      <c r="H18"/>
      <c r="I18" s="541"/>
      <c r="J18" s="541"/>
      <c r="K18" s="541"/>
      <c r="L18" s="541"/>
      <c r="M18" s="541"/>
      <c r="N18" s="541"/>
      <c r="O18" s="541"/>
      <c r="P18" s="541"/>
      <c r="Q18" s="541"/>
      <c r="R18" s="541"/>
      <c r="S18" s="541"/>
      <c r="T18" s="541"/>
      <c r="U18" s="541"/>
      <c r="V18" s="541"/>
      <c r="W18" s="541"/>
      <c r="X18" s="541"/>
      <c r="Y18"/>
    </row>
    <row r="19" spans="1:32" s="5" customFormat="1" hidden="1">
      <c r="A19" s="354">
        <v>800000</v>
      </c>
      <c r="B19" s="355">
        <v>1599999</v>
      </c>
      <c r="C19" s="356">
        <f>IF(C3&lt;A19,0,IF(C3&gt;B19,0,C3))</f>
        <v>0</v>
      </c>
      <c r="D19" s="356">
        <f>IF(C19&gt;0,563,0)</f>
        <v>0</v>
      </c>
      <c r="E19" s="356">
        <f>IF(D19=0,0,0.000352)</f>
        <v>0</v>
      </c>
      <c r="F19" s="356">
        <f>IF(D19=0,0,((C19-A19)*E19)+D19)</f>
        <v>0</v>
      </c>
      <c r="G19" s="357">
        <f>F19*G5</f>
        <v>0</v>
      </c>
      <c r="H19"/>
      <c r="I19" s="541"/>
      <c r="J19" s="541"/>
      <c r="K19" s="541"/>
      <c r="L19" s="541"/>
      <c r="M19" s="541"/>
      <c r="N19" s="541"/>
      <c r="O19" s="541"/>
      <c r="P19" s="541"/>
      <c r="Q19" s="541"/>
      <c r="R19" s="541"/>
      <c r="S19" s="541"/>
      <c r="T19" s="541"/>
      <c r="U19" s="541"/>
      <c r="V19" s="541"/>
      <c r="W19" s="541"/>
      <c r="X19" s="541"/>
      <c r="Y19"/>
    </row>
    <row r="20" spans="1:32" s="5" customFormat="1" hidden="1">
      <c r="A20" s="354">
        <v>1600000</v>
      </c>
      <c r="B20" s="355">
        <v>3199999</v>
      </c>
      <c r="C20" s="356">
        <f>IF(C3&lt;A20,0,IF(C3&gt;B20,0,C3))</f>
        <v>0</v>
      </c>
      <c r="D20" s="356">
        <f>IF(C20&gt;0,845,0)</f>
        <v>0</v>
      </c>
      <c r="E20" s="356">
        <f>IF(D20=0,0,0.000264)</f>
        <v>0</v>
      </c>
      <c r="F20" s="356">
        <f t="shared" si="5"/>
        <v>0</v>
      </c>
      <c r="G20" s="357">
        <f>F20*G5</f>
        <v>0</v>
      </c>
      <c r="H20"/>
      <c r="I20" s="541"/>
      <c r="J20" s="541"/>
      <c r="K20" s="541"/>
      <c r="L20" s="541"/>
      <c r="M20" s="541"/>
      <c r="N20" s="541"/>
      <c r="O20" s="541"/>
      <c r="P20" s="541"/>
      <c r="Q20" s="541"/>
      <c r="R20" s="541"/>
      <c r="S20" s="541"/>
      <c r="T20" s="541"/>
      <c r="U20" s="541"/>
      <c r="V20" s="541"/>
      <c r="W20" s="541"/>
      <c r="X20" s="541"/>
      <c r="Y20"/>
    </row>
    <row r="21" spans="1:32" s="5" customFormat="1" hidden="1">
      <c r="A21" s="354">
        <v>3200000</v>
      </c>
      <c r="B21" s="355">
        <v>6399999</v>
      </c>
      <c r="C21" s="356">
        <f>IF(C3&lt;A21,0,IF(C3&gt;B21,0,C3))</f>
        <v>0</v>
      </c>
      <c r="D21" s="356">
        <f>IF(C21&gt;0,1268,0)</f>
        <v>0</v>
      </c>
      <c r="E21" s="356">
        <f>IF(D21=0,0,0.000198)</f>
        <v>0</v>
      </c>
      <c r="F21" s="356">
        <f t="shared" si="5"/>
        <v>0</v>
      </c>
      <c r="G21" s="357">
        <f>F21*G5</f>
        <v>0</v>
      </c>
      <c r="H21"/>
      <c r="I21" s="541"/>
      <c r="J21" s="541"/>
      <c r="K21" s="541"/>
      <c r="L21" s="541"/>
      <c r="M21" s="541"/>
      <c r="N21" s="541"/>
      <c r="O21" s="541"/>
      <c r="P21" s="541"/>
      <c r="Q21" s="541"/>
      <c r="R21" s="541"/>
      <c r="S21" s="541"/>
      <c r="T21" s="541"/>
      <c r="U21" s="541"/>
      <c r="V21" s="541"/>
      <c r="W21" s="541"/>
      <c r="X21" s="541"/>
      <c r="Y21"/>
    </row>
    <row r="22" spans="1:32" s="5" customFormat="1" hidden="1">
      <c r="A22" s="354">
        <v>6400000</v>
      </c>
      <c r="B22" s="355">
        <v>12799999</v>
      </c>
      <c r="C22" s="356">
        <f>IF(C3&lt;A22,0,IF(C3&gt;B22,0,C3))</f>
        <v>0</v>
      </c>
      <c r="D22" s="356">
        <f>IF(C22&gt;0,1902,0)</f>
        <v>0</v>
      </c>
      <c r="E22" s="356">
        <f>IF(D22=0,0,0.000148)</f>
        <v>0</v>
      </c>
      <c r="F22" s="356">
        <f t="shared" si="5"/>
        <v>0</v>
      </c>
      <c r="G22" s="357">
        <f>F22*G5</f>
        <v>0</v>
      </c>
      <c r="H22"/>
      <c r="I22" s="541"/>
      <c r="J22" s="541"/>
      <c r="K22" s="541"/>
      <c r="L22" s="541"/>
      <c r="M22" s="541"/>
      <c r="N22" s="541"/>
      <c r="O22" s="541"/>
      <c r="P22" s="541"/>
      <c r="Q22" s="541"/>
      <c r="R22" s="541"/>
      <c r="S22" s="541"/>
      <c r="T22" s="541"/>
      <c r="U22" s="541"/>
      <c r="V22" s="541"/>
      <c r="W22" s="541"/>
      <c r="X22" s="541"/>
      <c r="Y22"/>
    </row>
    <row r="23" spans="1:32" s="5" customFormat="1" hidden="1">
      <c r="A23" s="354">
        <v>12800000</v>
      </c>
      <c r="B23" s="355">
        <v>25599999</v>
      </c>
      <c r="C23" s="356">
        <f>IF(C3&lt;A23,0,IF(C3&gt;B23,0,C3))</f>
        <v>0</v>
      </c>
      <c r="D23" s="356">
        <f>IF(C23&gt;0,2853,0)</f>
        <v>0</v>
      </c>
      <c r="E23" s="356">
        <f>IF(D23=0,0,0.000111)</f>
        <v>0</v>
      </c>
      <c r="F23" s="356">
        <f t="shared" si="5"/>
        <v>0</v>
      </c>
      <c r="G23" s="357">
        <f>F23*G5</f>
        <v>0</v>
      </c>
      <c r="H23"/>
      <c r="I23" s="541"/>
      <c r="J23" s="541"/>
      <c r="K23" s="541"/>
      <c r="L23" s="541"/>
      <c r="M23" s="541"/>
      <c r="N23" s="541"/>
      <c r="O23" s="541"/>
      <c r="P23" s="541"/>
      <c r="Q23" s="541"/>
      <c r="R23" s="541"/>
      <c r="S23" s="541"/>
      <c r="T23" s="541"/>
      <c r="U23" s="541"/>
      <c r="V23" s="541"/>
      <c r="W23" s="541"/>
      <c r="X23" s="541"/>
      <c r="Y23"/>
    </row>
    <row r="24" spans="1:32" s="5" customFormat="1" hidden="1">
      <c r="A24" s="354">
        <v>25600000</v>
      </c>
      <c r="B24" s="355">
        <v>51199999</v>
      </c>
      <c r="C24" s="356">
        <f>IF(C3&lt;A24,0,IF(C3&gt;B24,0,C3))</f>
        <v>0</v>
      </c>
      <c r="D24" s="356">
        <f>IF(C24&gt;0,4280,0)</f>
        <v>0</v>
      </c>
      <c r="E24" s="356">
        <f>IF(D24=0,0,0.000083)</f>
        <v>0</v>
      </c>
      <c r="F24" s="356">
        <f>IF(D24=0,0,((C24-A24)*E24)+D24)</f>
        <v>0</v>
      </c>
      <c r="G24" s="357">
        <f>F24*G5</f>
        <v>0</v>
      </c>
      <c r="H24"/>
      <c r="I24" s="541"/>
      <c r="J24" s="541"/>
      <c r="K24" s="541"/>
      <c r="L24" s="541"/>
      <c r="M24" s="541"/>
      <c r="N24" s="541"/>
      <c r="O24" s="541"/>
      <c r="P24" s="541"/>
      <c r="Q24" s="541"/>
      <c r="R24" s="541"/>
      <c r="S24" s="541"/>
      <c r="T24" s="541"/>
      <c r="U24" s="541"/>
      <c r="V24" s="541"/>
      <c r="W24" s="541"/>
      <c r="X24" s="541"/>
      <c r="Y24"/>
    </row>
    <row r="25" spans="1:32" hidden="1">
      <c r="A25" s="354">
        <v>51200000</v>
      </c>
      <c r="B25" s="355">
        <v>102399999</v>
      </c>
      <c r="C25" s="356">
        <f>IF(C3&lt;A25,0,IF(C3&gt;B25,0,C3))</f>
        <v>0</v>
      </c>
      <c r="D25" s="356">
        <f>IF(C25&gt;0,6420,0)</f>
        <v>0</v>
      </c>
      <c r="E25" s="356">
        <f>IF(D25=0,0,0.000063)</f>
        <v>0</v>
      </c>
      <c r="F25" s="356">
        <f t="shared" si="5"/>
        <v>0</v>
      </c>
      <c r="G25" s="357">
        <f>F25*G5</f>
        <v>0</v>
      </c>
      <c r="I25" s="541"/>
      <c r="J25" s="541"/>
      <c r="K25" s="541"/>
      <c r="L25" s="541"/>
      <c r="M25" s="541"/>
      <c r="N25" s="541"/>
      <c r="O25" s="541"/>
      <c r="P25" s="541"/>
      <c r="Q25" s="541"/>
      <c r="R25" s="541"/>
      <c r="S25" s="541"/>
      <c r="T25" s="541"/>
      <c r="U25" s="541"/>
      <c r="V25" s="541"/>
      <c r="W25" s="541"/>
      <c r="X25" s="541"/>
    </row>
    <row r="26" spans="1:32" hidden="1">
      <c r="A26" s="358">
        <v>102400000</v>
      </c>
      <c r="B26" s="359">
        <v>204799999</v>
      </c>
      <c r="C26" s="360">
        <f>IF(C3&lt;A26,0,IF(C3&gt;B26,0,C3))</f>
        <v>0</v>
      </c>
      <c r="D26" s="360">
        <f>IF(C26&gt;0,9630,0)</f>
        <v>0</v>
      </c>
      <c r="E26" s="360">
        <f>IF(D26=0,0,0.000047)</f>
        <v>0</v>
      </c>
      <c r="F26" s="360">
        <f>IF(D26=0,0,((C26-A26)*E26)+D26)</f>
        <v>0</v>
      </c>
      <c r="G26" s="361">
        <f>F26*G5</f>
        <v>0</v>
      </c>
      <c r="I26" s="541"/>
      <c r="J26" s="541"/>
      <c r="K26" s="541"/>
      <c r="L26" s="541"/>
      <c r="M26" s="541"/>
      <c r="N26" s="541"/>
      <c r="O26" s="541"/>
      <c r="P26" s="541"/>
      <c r="Q26" s="541"/>
      <c r="R26" s="541"/>
      <c r="S26" s="541"/>
      <c r="T26" s="541"/>
      <c r="U26" s="541"/>
      <c r="V26" s="541"/>
      <c r="W26" s="541"/>
      <c r="X26" s="541"/>
    </row>
    <row r="27" spans="1:32" ht="27" customHeight="1" thickBot="1">
      <c r="I27" s="541"/>
      <c r="J27" s="541"/>
      <c r="K27" s="2712" t="s">
        <v>27</v>
      </c>
      <c r="L27" s="2154"/>
      <c r="M27" s="2154"/>
      <c r="N27" s="2154"/>
      <c r="O27" s="2154"/>
      <c r="P27" s="2154"/>
      <c r="Q27" s="2154"/>
      <c r="R27" s="2154"/>
      <c r="S27" s="2155"/>
      <c r="T27" s="1805"/>
      <c r="U27" s="541"/>
      <c r="V27" s="541"/>
      <c r="W27" s="541"/>
      <c r="X27" s="541"/>
    </row>
    <row r="28" spans="1:32" ht="33" customHeight="1" thickTop="1">
      <c r="A28" s="2681" t="s">
        <v>4</v>
      </c>
      <c r="B28" s="2009"/>
      <c r="C28" s="2009"/>
      <c r="D28" s="2009"/>
      <c r="E28" s="2009"/>
      <c r="F28" s="2009"/>
      <c r="G28" s="1183">
        <f>ROUND(SUM(G33:G47),0)</f>
        <v>0</v>
      </c>
      <c r="H28" s="328"/>
      <c r="I28" s="2706" t="s">
        <v>1206</v>
      </c>
      <c r="J28" s="2673" t="s">
        <v>1214</v>
      </c>
      <c r="K28" s="2676" t="s">
        <v>1215</v>
      </c>
      <c r="L28" s="1806"/>
      <c r="M28" s="2676" t="s">
        <v>1216</v>
      </c>
      <c r="N28" s="1806"/>
      <c r="O28" s="2676" t="s">
        <v>1217</v>
      </c>
      <c r="P28" s="1806"/>
      <c r="Q28" s="2676" t="s">
        <v>1218</v>
      </c>
      <c r="R28" s="1807"/>
      <c r="S28" s="2719" t="s">
        <v>1219</v>
      </c>
      <c r="T28" s="1801"/>
      <c r="U28" s="2694" t="s">
        <v>1234</v>
      </c>
      <c r="V28" s="2716" t="s">
        <v>1235</v>
      </c>
      <c r="W28" s="505"/>
      <c r="X28" s="507"/>
      <c r="Y28" s="328"/>
      <c r="Z28" s="2682" t="s">
        <v>1066</v>
      </c>
      <c r="AA28" s="2683"/>
      <c r="AB28" s="2683"/>
      <c r="AC28" s="2684"/>
      <c r="AF28" s="522" t="s">
        <v>1200</v>
      </c>
    </row>
    <row r="29" spans="1:32" ht="19" customHeight="1">
      <c r="A29" s="1314" t="s">
        <v>458</v>
      </c>
      <c r="B29" s="1314" t="s">
        <v>460</v>
      </c>
      <c r="C29" s="2670">
        <f>IF(C30=0,0,IF(C30&lt;250,"Valeurs non officielles recalculées sur la base du barème",0))</f>
        <v>0</v>
      </c>
      <c r="D29" s="2671"/>
      <c r="E29" s="2671"/>
      <c r="F29" s="2672"/>
      <c r="G29" s="2668" t="s">
        <v>1131</v>
      </c>
      <c r="I29" s="2707"/>
      <c r="J29" s="2674"/>
      <c r="K29" s="2677"/>
      <c r="L29" s="1808"/>
      <c r="M29" s="2677"/>
      <c r="N29" s="1808"/>
      <c r="O29" s="2677"/>
      <c r="P29" s="1808"/>
      <c r="Q29" s="2677"/>
      <c r="R29" s="1809"/>
      <c r="S29" s="2720"/>
      <c r="T29" s="1802"/>
      <c r="U29" s="2405"/>
      <c r="V29" s="2717"/>
      <c r="W29" s="506"/>
      <c r="X29" s="498"/>
      <c r="Z29" s="2692" t="s">
        <v>1021</v>
      </c>
      <c r="AA29" s="2692" t="s">
        <v>724</v>
      </c>
      <c r="AB29" s="2692" t="s">
        <v>974</v>
      </c>
      <c r="AC29" s="2692" t="s">
        <v>418</v>
      </c>
    </row>
    <row r="30" spans="1:32" ht="16" customHeight="1">
      <c r="A30" s="2714">
        <v>0</v>
      </c>
      <c r="B30" s="2714">
        <v>0</v>
      </c>
      <c r="C30" s="2715">
        <f>A30*B30</f>
        <v>0</v>
      </c>
      <c r="D30" s="2645" t="s">
        <v>131</v>
      </c>
      <c r="E30" s="2646"/>
      <c r="F30" s="2647"/>
      <c r="G30" s="2669"/>
      <c r="I30" s="2708"/>
      <c r="J30" s="2675"/>
      <c r="K30" s="2678"/>
      <c r="L30" s="1810"/>
      <c r="M30" s="2678"/>
      <c r="N30" s="1810"/>
      <c r="O30" s="2678"/>
      <c r="P30" s="1810"/>
      <c r="Q30" s="2678"/>
      <c r="R30" s="1811"/>
      <c r="S30" s="2721"/>
      <c r="T30" s="1803"/>
      <c r="U30" s="2695"/>
      <c r="V30" s="2718"/>
      <c r="W30" s="409" t="s">
        <v>38</v>
      </c>
      <c r="X30" s="409" t="s">
        <v>305</v>
      </c>
      <c r="Z30" s="2693"/>
      <c r="AA30" s="2693"/>
      <c r="AB30" s="2693"/>
      <c r="AC30" s="2693"/>
    </row>
    <row r="31" spans="1:32" ht="21" customHeight="1">
      <c r="A31" s="2714"/>
      <c r="B31" s="2714"/>
      <c r="C31" s="2715"/>
      <c r="D31" s="578"/>
      <c r="E31" s="578" t="s">
        <v>941</v>
      </c>
      <c r="F31" s="579"/>
      <c r="G31" s="2679">
        <v>3</v>
      </c>
      <c r="I31" s="332" t="str">
        <f>A2</f>
        <v>Presse et publications assimilées  (annonce pub…)</v>
      </c>
      <c r="J31" s="1812">
        <f>G2</f>
        <v>0</v>
      </c>
      <c r="K31" s="364"/>
      <c r="L31" s="364">
        <f>K31*J31</f>
        <v>0</v>
      </c>
      <c r="M31" s="364"/>
      <c r="N31" s="364">
        <f>M31*J31/2</f>
        <v>0</v>
      </c>
      <c r="O31" s="364"/>
      <c r="P31" s="364">
        <f>O31*J31/4</f>
        <v>0</v>
      </c>
      <c r="Q31" s="364"/>
      <c r="R31" s="649">
        <f>Q31*J31/8</f>
        <v>0</v>
      </c>
      <c r="S31" s="649"/>
      <c r="T31" s="1162">
        <f>S31*J31/12</f>
        <v>0</v>
      </c>
      <c r="U31" s="1804">
        <f>T31+R31+P31+N31+L31</f>
        <v>0</v>
      </c>
      <c r="V31" s="1128"/>
      <c r="W31" s="513">
        <v>0</v>
      </c>
      <c r="X31" s="1316">
        <f>IF(V31="x","",U31-(U31*W31))</f>
        <v>0</v>
      </c>
      <c r="Y31" s="984" t="str">
        <f>IF(K31="x","page",IF(M31="x","1/2p",IF(O31="x","1/4p",IF(Q31="x","1/8p",IF(S31="x","vign","")))))</f>
        <v/>
      </c>
      <c r="Z31" s="1321">
        <f>U31*0.9</f>
        <v>0</v>
      </c>
      <c r="AA31" s="1321">
        <f>U31*0.8</f>
        <v>0</v>
      </c>
      <c r="AB31" s="1321">
        <f>U31*0.7</f>
        <v>0</v>
      </c>
      <c r="AC31" s="1321">
        <f>U31*0.6</f>
        <v>0</v>
      </c>
      <c r="AF31">
        <f>K31+M31+O31+Q31+S31</f>
        <v>0</v>
      </c>
    </row>
    <row r="32" spans="1:32" ht="21" customHeight="1">
      <c r="A32" s="2659" t="s">
        <v>321</v>
      </c>
      <c r="B32" s="2659"/>
      <c r="C32" s="580"/>
      <c r="D32" s="2725" t="s">
        <v>137</v>
      </c>
      <c r="E32" s="2723"/>
      <c r="F32" s="2724"/>
      <c r="G32" s="2680"/>
      <c r="I32" s="330" t="str">
        <f>IF(AND(A30&gt;0,A72=0),A28,IF(AND(A72&gt;0,A30=0),A70,"Affichages +/-10m2 cumulés"))</f>
        <v>Affichages +/-10m2 cumulés</v>
      </c>
      <c r="J32" s="1813">
        <f>(G28+G70)/COUNT(G28+G70)</f>
        <v>0</v>
      </c>
      <c r="K32" s="364"/>
      <c r="L32" s="364">
        <f t="shared" ref="L32:L48" si="6">K32*J32</f>
        <v>0</v>
      </c>
      <c r="M32" s="364"/>
      <c r="N32" s="364">
        <f t="shared" ref="N32:N48" si="7">M32*J32/2</f>
        <v>0</v>
      </c>
      <c r="O32" s="364"/>
      <c r="P32" s="364">
        <f t="shared" ref="P32:P48" si="8">O32*J32/4</f>
        <v>0</v>
      </c>
      <c r="Q32" s="364"/>
      <c r="R32" s="649">
        <f t="shared" ref="R32:R48" si="9">Q32*J32/8</f>
        <v>0</v>
      </c>
      <c r="S32" s="649"/>
      <c r="T32" s="1162">
        <f t="shared" ref="T32:T48" si="10">S32*J32/12</f>
        <v>0</v>
      </c>
      <c r="U32" s="1804">
        <f t="shared" ref="U32:U48" si="11">T32+R32+P32+N32+L32</f>
        <v>0</v>
      </c>
      <c r="V32" s="650"/>
      <c r="W32" s="514">
        <v>0</v>
      </c>
      <c r="X32" s="1317">
        <f>IF(V32="x","",U32-(U32*W32))</f>
        <v>0</v>
      </c>
      <c r="Y32" s="984" t="str">
        <f t="shared" ref="Y32:Y48" si="12">IF(K32="x","page",IF(M32="x","1/2p",IF(O32="x","1/4p",IF(Q32="x","1/8p",IF(S32="x","vign","")))))</f>
        <v/>
      </c>
      <c r="Z32" s="1321">
        <f>U32*0.9</f>
        <v>0</v>
      </c>
      <c r="AA32" s="1321">
        <f>U32*0.8</f>
        <v>0</v>
      </c>
      <c r="AB32" s="1321">
        <f>U32*0.7</f>
        <v>0</v>
      </c>
      <c r="AC32" s="1321">
        <f>U32*0.6</f>
        <v>0</v>
      </c>
      <c r="AF32">
        <f>K32+M32+O32+Q32+S32</f>
        <v>0</v>
      </c>
    </row>
    <row r="33" spans="1:32" hidden="1">
      <c r="A33" s="1165">
        <v>0</v>
      </c>
      <c r="B33" s="1165">
        <v>7</v>
      </c>
      <c r="C33" s="1159">
        <f t="shared" ref="C33:C38" si="13">IF($C$30&lt;A33,0,IF($C$30&gt;B33,0,$C$30))</f>
        <v>0</v>
      </c>
      <c r="D33" s="1165">
        <f>IF(C33&gt;0,14,0)</f>
        <v>0</v>
      </c>
      <c r="E33" s="1165"/>
      <c r="F33" s="1159">
        <f t="shared" ref="F33:F39" si="14">IF(D33=0,0,((C33-A33)*E33)+D33)</f>
        <v>0</v>
      </c>
      <c r="G33" s="576">
        <f t="shared" ref="G33:G38" si="15">F33*$G$31</f>
        <v>0</v>
      </c>
      <c r="I33" s="1161"/>
      <c r="J33" s="1814"/>
      <c r="K33" s="364"/>
      <c r="L33" s="364">
        <f t="shared" si="6"/>
        <v>0</v>
      </c>
      <c r="M33" s="364"/>
      <c r="N33" s="364">
        <f t="shared" si="7"/>
        <v>0</v>
      </c>
      <c r="O33" s="364"/>
      <c r="P33" s="364">
        <f t="shared" si="8"/>
        <v>0</v>
      </c>
      <c r="Q33" s="364"/>
      <c r="R33" s="649">
        <f t="shared" si="9"/>
        <v>0</v>
      </c>
      <c r="S33" s="649"/>
      <c r="T33" s="1162">
        <f t="shared" si="10"/>
        <v>0</v>
      </c>
      <c r="U33" s="1804">
        <f t="shared" si="11"/>
        <v>0</v>
      </c>
      <c r="V33" s="1163"/>
      <c r="W33" s="1164"/>
      <c r="X33" s="1318"/>
      <c r="Y33" s="984"/>
      <c r="Z33" s="1322"/>
      <c r="AA33" s="1322"/>
      <c r="AB33" s="1322"/>
      <c r="AC33" s="1322"/>
    </row>
    <row r="34" spans="1:32" hidden="1">
      <c r="A34" s="1165">
        <v>8</v>
      </c>
      <c r="B34" s="1165">
        <v>15</v>
      </c>
      <c r="C34" s="1159">
        <f t="shared" si="13"/>
        <v>0</v>
      </c>
      <c r="D34" s="1165">
        <f>IF(C34&gt;0,21,0)</f>
        <v>0</v>
      </c>
      <c r="E34" s="1165">
        <f>IF(D34=0,0,0.875)</f>
        <v>0</v>
      </c>
      <c r="F34" s="1159">
        <f t="shared" si="14"/>
        <v>0</v>
      </c>
      <c r="G34" s="576">
        <f t="shared" si="15"/>
        <v>0</v>
      </c>
      <c r="I34" s="1161"/>
      <c r="J34" s="1814"/>
      <c r="K34" s="364"/>
      <c r="L34" s="364">
        <f t="shared" si="6"/>
        <v>0</v>
      </c>
      <c r="M34" s="364"/>
      <c r="N34" s="364">
        <f t="shared" si="7"/>
        <v>0</v>
      </c>
      <c r="O34" s="364"/>
      <c r="P34" s="364">
        <f t="shared" si="8"/>
        <v>0</v>
      </c>
      <c r="Q34" s="364"/>
      <c r="R34" s="649">
        <f t="shared" si="9"/>
        <v>0</v>
      </c>
      <c r="S34" s="649"/>
      <c r="T34" s="1162">
        <f t="shared" si="10"/>
        <v>0</v>
      </c>
      <c r="U34" s="1804">
        <f t="shared" si="11"/>
        <v>0</v>
      </c>
      <c r="V34" s="1163"/>
      <c r="W34" s="1164"/>
      <c r="X34" s="1318"/>
      <c r="Y34" s="984"/>
      <c r="Z34" s="1322"/>
      <c r="AA34" s="1322"/>
      <c r="AB34" s="1322"/>
      <c r="AC34" s="1322"/>
    </row>
    <row r="35" spans="1:32" hidden="1">
      <c r="A35" s="1165">
        <v>16</v>
      </c>
      <c r="B35" s="1165">
        <v>31</v>
      </c>
      <c r="C35" s="1159">
        <f t="shared" si="13"/>
        <v>0</v>
      </c>
      <c r="D35" s="1165">
        <f>IF(C35&gt;0,32,0)</f>
        <v>0</v>
      </c>
      <c r="E35" s="1165">
        <f>IF(D35=0,0,0.6875)</f>
        <v>0</v>
      </c>
      <c r="F35" s="1159">
        <f t="shared" si="14"/>
        <v>0</v>
      </c>
      <c r="G35" s="576">
        <f t="shared" si="15"/>
        <v>0</v>
      </c>
      <c r="I35" s="1161"/>
      <c r="J35" s="1814"/>
      <c r="K35" s="364"/>
      <c r="L35" s="364">
        <f t="shared" si="6"/>
        <v>0</v>
      </c>
      <c r="M35" s="364"/>
      <c r="N35" s="364">
        <f t="shared" si="7"/>
        <v>0</v>
      </c>
      <c r="O35" s="364"/>
      <c r="P35" s="364">
        <f t="shared" si="8"/>
        <v>0</v>
      </c>
      <c r="Q35" s="364"/>
      <c r="R35" s="649">
        <f t="shared" si="9"/>
        <v>0</v>
      </c>
      <c r="S35" s="649"/>
      <c r="T35" s="1162">
        <f t="shared" si="10"/>
        <v>0</v>
      </c>
      <c r="U35" s="1804">
        <f t="shared" si="11"/>
        <v>0</v>
      </c>
      <c r="V35" s="1163"/>
      <c r="W35" s="1164"/>
      <c r="X35" s="1318"/>
      <c r="Y35" s="984"/>
      <c r="Z35" s="1322"/>
      <c r="AA35" s="1322"/>
      <c r="AB35" s="1322"/>
      <c r="AC35" s="1322"/>
    </row>
    <row r="36" spans="1:32" hidden="1">
      <c r="A36" s="1165">
        <v>32</v>
      </c>
      <c r="B36" s="1165">
        <v>63</v>
      </c>
      <c r="C36" s="1159">
        <f t="shared" si="13"/>
        <v>0</v>
      </c>
      <c r="D36" s="1165">
        <f>IF(C36&gt;0,47,0)</f>
        <v>0</v>
      </c>
      <c r="E36" s="1165">
        <f>IF(D36=0,0,0.4688)</f>
        <v>0</v>
      </c>
      <c r="F36" s="1159">
        <f t="shared" si="14"/>
        <v>0</v>
      </c>
      <c r="G36" s="576">
        <f t="shared" si="15"/>
        <v>0</v>
      </c>
      <c r="I36" s="1161"/>
      <c r="J36" s="1814"/>
      <c r="K36" s="364"/>
      <c r="L36" s="364">
        <f t="shared" si="6"/>
        <v>0</v>
      </c>
      <c r="M36" s="364"/>
      <c r="N36" s="364">
        <f t="shared" si="7"/>
        <v>0</v>
      </c>
      <c r="O36" s="364"/>
      <c r="P36" s="364">
        <f t="shared" si="8"/>
        <v>0</v>
      </c>
      <c r="Q36" s="364"/>
      <c r="R36" s="649">
        <f t="shared" si="9"/>
        <v>0</v>
      </c>
      <c r="S36" s="649"/>
      <c r="T36" s="1162">
        <f t="shared" si="10"/>
        <v>0</v>
      </c>
      <c r="U36" s="1804">
        <f t="shared" si="11"/>
        <v>0</v>
      </c>
      <c r="V36" s="1163"/>
      <c r="W36" s="1164"/>
      <c r="X36" s="1318"/>
      <c r="Y36" s="984"/>
      <c r="Z36" s="1322"/>
      <c r="AA36" s="1322"/>
      <c r="AB36" s="1322"/>
      <c r="AC36" s="1322"/>
    </row>
    <row r="37" spans="1:32" hidden="1">
      <c r="A37" s="1165">
        <v>64</v>
      </c>
      <c r="B37" s="1165">
        <v>124</v>
      </c>
      <c r="C37" s="1159">
        <f t="shared" si="13"/>
        <v>0</v>
      </c>
      <c r="D37" s="1165">
        <f>IF(C37&gt;0,71,0)</f>
        <v>0</v>
      </c>
      <c r="E37" s="1165">
        <f>IF(D37=0,0,0.3934)</f>
        <v>0</v>
      </c>
      <c r="F37" s="1159">
        <f t="shared" si="14"/>
        <v>0</v>
      </c>
      <c r="G37" s="576">
        <f t="shared" si="15"/>
        <v>0</v>
      </c>
      <c r="I37" s="1161"/>
      <c r="J37" s="1814"/>
      <c r="K37" s="364"/>
      <c r="L37" s="364">
        <f t="shared" si="6"/>
        <v>0</v>
      </c>
      <c r="M37" s="364"/>
      <c r="N37" s="364">
        <f t="shared" si="7"/>
        <v>0</v>
      </c>
      <c r="O37" s="364"/>
      <c r="P37" s="364">
        <f t="shared" si="8"/>
        <v>0</v>
      </c>
      <c r="Q37" s="364"/>
      <c r="R37" s="649">
        <f t="shared" si="9"/>
        <v>0</v>
      </c>
      <c r="S37" s="649"/>
      <c r="T37" s="1162">
        <f t="shared" si="10"/>
        <v>0</v>
      </c>
      <c r="U37" s="1804">
        <f t="shared" si="11"/>
        <v>0</v>
      </c>
      <c r="V37" s="1163"/>
      <c r="W37" s="1164"/>
      <c r="X37" s="1318"/>
      <c r="Y37" s="984"/>
      <c r="Z37" s="1322"/>
      <c r="AA37" s="1322"/>
      <c r="AB37" s="1322"/>
      <c r="AC37" s="1322"/>
    </row>
    <row r="38" spans="1:32" hidden="1">
      <c r="A38" s="1165">
        <v>125</v>
      </c>
      <c r="B38" s="1165">
        <v>249</v>
      </c>
      <c r="C38" s="1159">
        <f t="shared" si="13"/>
        <v>0</v>
      </c>
      <c r="D38" s="1165">
        <f>IF(C38&gt;0,107,0)</f>
        <v>0</v>
      </c>
      <c r="E38" s="1165">
        <f>IF(D38=0,0,0.288)</f>
        <v>0</v>
      </c>
      <c r="F38" s="1159">
        <f t="shared" si="14"/>
        <v>0</v>
      </c>
      <c r="G38" s="576">
        <f t="shared" si="15"/>
        <v>0</v>
      </c>
      <c r="I38" s="1161"/>
      <c r="J38" s="1814"/>
      <c r="K38" s="364"/>
      <c r="L38" s="364">
        <f t="shared" si="6"/>
        <v>0</v>
      </c>
      <c r="M38" s="364"/>
      <c r="N38" s="364">
        <f t="shared" si="7"/>
        <v>0</v>
      </c>
      <c r="O38" s="364"/>
      <c r="P38" s="364">
        <f t="shared" si="8"/>
        <v>0</v>
      </c>
      <c r="Q38" s="364"/>
      <c r="R38" s="649">
        <f t="shared" si="9"/>
        <v>0</v>
      </c>
      <c r="S38" s="649"/>
      <c r="T38" s="1162">
        <f t="shared" si="10"/>
        <v>0</v>
      </c>
      <c r="U38" s="1804">
        <f t="shared" si="11"/>
        <v>0</v>
      </c>
      <c r="V38" s="1163"/>
      <c r="W38" s="1164"/>
      <c r="X38" s="1318"/>
      <c r="Y38" s="984"/>
      <c r="Z38" s="1322"/>
      <c r="AA38" s="1322"/>
      <c r="AB38" s="1322"/>
      <c r="AC38" s="1322"/>
    </row>
    <row r="39" spans="1:32" hidden="1">
      <c r="A39" s="573">
        <v>250</v>
      </c>
      <c r="B39" s="574">
        <v>499</v>
      </c>
      <c r="C39" s="129">
        <f>IF($C$30&lt;A39,0,IF($C$30&gt;B39,0,$C$30))</f>
        <v>0</v>
      </c>
      <c r="D39" s="1159">
        <f>IF(C39&gt;0,160,0)</f>
        <v>0</v>
      </c>
      <c r="E39" s="1159">
        <f>IF(D39=0,0,0.212)</f>
        <v>0</v>
      </c>
      <c r="F39" s="1159">
        <f t="shared" si="14"/>
        <v>0</v>
      </c>
      <c r="G39" s="576">
        <f>F39*$G$31</f>
        <v>0</v>
      </c>
      <c r="J39" s="1815"/>
      <c r="K39" s="364"/>
      <c r="L39" s="364">
        <f t="shared" si="6"/>
        <v>0</v>
      </c>
      <c r="M39" s="364"/>
      <c r="N39" s="364">
        <f t="shared" si="7"/>
        <v>0</v>
      </c>
      <c r="O39" s="364"/>
      <c r="P39" s="364">
        <f t="shared" si="8"/>
        <v>0</v>
      </c>
      <c r="Q39" s="364"/>
      <c r="R39" s="649">
        <f t="shared" si="9"/>
        <v>0</v>
      </c>
      <c r="S39" s="649"/>
      <c r="T39" s="1162">
        <f t="shared" si="10"/>
        <v>0</v>
      </c>
      <c r="U39" s="1804">
        <f t="shared" si="11"/>
        <v>0</v>
      </c>
      <c r="V39" s="651"/>
      <c r="X39" s="1319"/>
      <c r="Y39" s="984" t="str">
        <f t="shared" si="12"/>
        <v/>
      </c>
      <c r="Z39" s="1319"/>
      <c r="AA39" s="1319"/>
      <c r="AB39" s="1319"/>
      <c r="AC39" s="1319"/>
    </row>
    <row r="40" spans="1:32" hidden="1">
      <c r="A40" s="573">
        <v>500</v>
      </c>
      <c r="B40" s="574">
        <v>999</v>
      </c>
      <c r="C40" s="129">
        <f>IF(C30&lt;A40,0,IF(C30&gt;B40,0,C30))</f>
        <v>0</v>
      </c>
      <c r="D40" s="129">
        <f>IF(C40&gt;0,160,0)</f>
        <v>0</v>
      </c>
      <c r="E40" s="129">
        <f>IF(D40=0,0,0.16)</f>
        <v>0</v>
      </c>
      <c r="F40" s="129">
        <f>IF(D40=0,0,((C40-A40)*E40)+D40)</f>
        <v>0</v>
      </c>
      <c r="G40" s="329">
        <f>F40*G31</f>
        <v>0</v>
      </c>
      <c r="J40" s="1815"/>
      <c r="K40" s="364"/>
      <c r="L40" s="364">
        <f t="shared" si="6"/>
        <v>0</v>
      </c>
      <c r="M40" s="364"/>
      <c r="N40" s="364">
        <f t="shared" si="7"/>
        <v>0</v>
      </c>
      <c r="O40" s="364"/>
      <c r="P40" s="364">
        <f t="shared" si="8"/>
        <v>0</v>
      </c>
      <c r="Q40" s="364"/>
      <c r="R40" s="649">
        <f t="shared" si="9"/>
        <v>0</v>
      </c>
      <c r="S40" s="649"/>
      <c r="T40" s="1162">
        <f t="shared" si="10"/>
        <v>0</v>
      </c>
      <c r="U40" s="1804">
        <f t="shared" si="11"/>
        <v>0</v>
      </c>
      <c r="V40" s="651"/>
      <c r="X40" s="1319"/>
      <c r="Y40" s="984" t="str">
        <f t="shared" si="12"/>
        <v/>
      </c>
      <c r="Z40" s="1319"/>
      <c r="AA40" s="1319"/>
      <c r="AB40" s="1319"/>
      <c r="AC40" s="1319"/>
    </row>
    <row r="41" spans="1:32" hidden="1">
      <c r="A41" s="573">
        <v>1000</v>
      </c>
      <c r="B41" s="574">
        <v>1999</v>
      </c>
      <c r="C41" s="129">
        <f>IF(C30&lt;A41,0,IF(C30&gt;B41,0,C30))</f>
        <v>0</v>
      </c>
      <c r="D41" s="129">
        <f>IF(C41&gt;0,240,0)</f>
        <v>0</v>
      </c>
      <c r="E41" s="129">
        <f>IF(D41=0,0,0.12)</f>
        <v>0</v>
      </c>
      <c r="F41" s="129">
        <f t="shared" ref="F41:F46" si="16">IF(D41=0,0,((C41-A41)*E41)+D41)</f>
        <v>0</v>
      </c>
      <c r="G41" s="329">
        <f>F41*G31</f>
        <v>0</v>
      </c>
      <c r="J41" s="1815"/>
      <c r="K41" s="364"/>
      <c r="L41" s="364">
        <f t="shared" si="6"/>
        <v>0</v>
      </c>
      <c r="M41" s="364"/>
      <c r="N41" s="364">
        <f t="shared" si="7"/>
        <v>0</v>
      </c>
      <c r="O41" s="364"/>
      <c r="P41" s="364">
        <f t="shared" si="8"/>
        <v>0</v>
      </c>
      <c r="Q41" s="364"/>
      <c r="R41" s="649">
        <f t="shared" si="9"/>
        <v>0</v>
      </c>
      <c r="S41" s="649"/>
      <c r="T41" s="1162">
        <f t="shared" si="10"/>
        <v>0</v>
      </c>
      <c r="U41" s="1804">
        <f t="shared" si="11"/>
        <v>0</v>
      </c>
      <c r="V41" s="651"/>
      <c r="X41" s="1319"/>
      <c r="Y41" s="984" t="str">
        <f t="shared" si="12"/>
        <v/>
      </c>
      <c r="Z41" s="1319"/>
      <c r="AA41" s="1319"/>
      <c r="AB41" s="1319"/>
      <c r="AC41" s="1319"/>
    </row>
    <row r="42" spans="1:32" hidden="1">
      <c r="A42" s="573">
        <v>2000</v>
      </c>
      <c r="B42" s="574">
        <v>3999</v>
      </c>
      <c r="C42" s="129">
        <f>IF(C30&lt;A42,0,IF(C30&gt;B42,0,C30))</f>
        <v>0</v>
      </c>
      <c r="D42" s="129">
        <f>IF(C42&gt;0,360,0)</f>
        <v>0</v>
      </c>
      <c r="E42" s="129">
        <f>IF(D42=0,0,0.09)</f>
        <v>0</v>
      </c>
      <c r="F42" s="129">
        <f t="shared" si="16"/>
        <v>0</v>
      </c>
      <c r="G42" s="329">
        <f>F42*G31</f>
        <v>0</v>
      </c>
      <c r="J42" s="1815"/>
      <c r="K42" s="364"/>
      <c r="L42" s="364">
        <f t="shared" si="6"/>
        <v>0</v>
      </c>
      <c r="M42" s="364"/>
      <c r="N42" s="364">
        <f t="shared" si="7"/>
        <v>0</v>
      </c>
      <c r="O42" s="364"/>
      <c r="P42" s="364">
        <f t="shared" si="8"/>
        <v>0</v>
      </c>
      <c r="Q42" s="364"/>
      <c r="R42" s="649">
        <f t="shared" si="9"/>
        <v>0</v>
      </c>
      <c r="S42" s="649"/>
      <c r="T42" s="1162">
        <f t="shared" si="10"/>
        <v>0</v>
      </c>
      <c r="U42" s="1804">
        <f t="shared" si="11"/>
        <v>0</v>
      </c>
      <c r="V42" s="651"/>
      <c r="X42" s="1319"/>
      <c r="Y42" s="984" t="str">
        <f t="shared" si="12"/>
        <v/>
      </c>
      <c r="Z42" s="1319"/>
      <c r="AA42" s="1319"/>
      <c r="AB42" s="1319"/>
      <c r="AC42" s="1319"/>
    </row>
    <row r="43" spans="1:32" hidden="1">
      <c r="A43" s="573">
        <v>4000</v>
      </c>
      <c r="B43" s="574">
        <v>7999</v>
      </c>
      <c r="C43" s="129">
        <f>IF(C30&lt;A43,0,IF(C30&gt;B43,0,C30))</f>
        <v>0</v>
      </c>
      <c r="D43" s="129">
        <f>IF(C43&gt;0,540,0)</f>
        <v>0</v>
      </c>
      <c r="E43" s="129">
        <f>IF(D43=0,0,0.0675)</f>
        <v>0</v>
      </c>
      <c r="F43" s="129">
        <f t="shared" si="16"/>
        <v>0</v>
      </c>
      <c r="G43" s="329">
        <f>F43*G31</f>
        <v>0</v>
      </c>
      <c r="J43" s="1815"/>
      <c r="K43" s="364"/>
      <c r="L43" s="364">
        <f t="shared" si="6"/>
        <v>0</v>
      </c>
      <c r="M43" s="364"/>
      <c r="N43" s="364">
        <f t="shared" si="7"/>
        <v>0</v>
      </c>
      <c r="O43" s="364"/>
      <c r="P43" s="364">
        <f t="shared" si="8"/>
        <v>0</v>
      </c>
      <c r="Q43" s="364"/>
      <c r="R43" s="649">
        <f t="shared" si="9"/>
        <v>0</v>
      </c>
      <c r="S43" s="649"/>
      <c r="T43" s="1162">
        <f t="shared" si="10"/>
        <v>0</v>
      </c>
      <c r="U43" s="1804">
        <f t="shared" si="11"/>
        <v>0</v>
      </c>
      <c r="V43" s="651"/>
      <c r="X43" s="1319"/>
      <c r="Y43" s="984" t="str">
        <f t="shared" si="12"/>
        <v/>
      </c>
      <c r="Z43" s="1319"/>
      <c r="AA43" s="1319"/>
      <c r="AB43" s="1319"/>
      <c r="AC43" s="1319"/>
    </row>
    <row r="44" spans="1:32" hidden="1">
      <c r="A44" s="573">
        <v>8000</v>
      </c>
      <c r="B44" s="574">
        <v>15999</v>
      </c>
      <c r="C44" s="129">
        <f>IF(C30&lt;A44,0,IF(C30&gt;B44,0,C30))</f>
        <v>0</v>
      </c>
      <c r="D44" s="129">
        <f>IF(C44&gt;0,810,0)</f>
        <v>0</v>
      </c>
      <c r="E44" s="129">
        <f>IF(D44=0,0,0.05075)</f>
        <v>0</v>
      </c>
      <c r="F44" s="129">
        <f t="shared" si="16"/>
        <v>0</v>
      </c>
      <c r="G44" s="329">
        <f>F44*G31</f>
        <v>0</v>
      </c>
      <c r="J44" s="1815"/>
      <c r="K44" s="364"/>
      <c r="L44" s="364">
        <f t="shared" si="6"/>
        <v>0</v>
      </c>
      <c r="M44" s="364"/>
      <c r="N44" s="364">
        <f t="shared" si="7"/>
        <v>0</v>
      </c>
      <c r="O44" s="364"/>
      <c r="P44" s="364">
        <f t="shared" si="8"/>
        <v>0</v>
      </c>
      <c r="Q44" s="364"/>
      <c r="R44" s="649">
        <f t="shared" si="9"/>
        <v>0</v>
      </c>
      <c r="S44" s="649"/>
      <c r="T44" s="1162">
        <f t="shared" si="10"/>
        <v>0</v>
      </c>
      <c r="U44" s="1804">
        <f t="shared" si="11"/>
        <v>0</v>
      </c>
      <c r="V44" s="651"/>
      <c r="X44" s="1319"/>
      <c r="Y44" s="984" t="str">
        <f t="shared" si="12"/>
        <v/>
      </c>
      <c r="Z44" s="1319"/>
      <c r="AA44" s="1319"/>
      <c r="AB44" s="1319"/>
      <c r="AC44" s="1319"/>
    </row>
    <row r="45" spans="1:32" hidden="1">
      <c r="A45" s="573">
        <v>16000</v>
      </c>
      <c r="B45" s="574">
        <v>31999</v>
      </c>
      <c r="C45" s="129">
        <f>IF(C30&lt;A45,0,IF(C30&gt;B45,0,C30))</f>
        <v>0</v>
      </c>
      <c r="D45" s="129">
        <f>IF(C45&gt;0,1216,0)</f>
        <v>0</v>
      </c>
      <c r="E45" s="129">
        <f>IF(D45=0,0,0.038)</f>
        <v>0</v>
      </c>
      <c r="F45" s="129">
        <f t="shared" si="16"/>
        <v>0</v>
      </c>
      <c r="G45" s="329">
        <f>F45*G31</f>
        <v>0</v>
      </c>
      <c r="J45" s="1815"/>
      <c r="K45" s="364"/>
      <c r="L45" s="364">
        <f t="shared" si="6"/>
        <v>0</v>
      </c>
      <c r="M45" s="364"/>
      <c r="N45" s="364">
        <f t="shared" si="7"/>
        <v>0</v>
      </c>
      <c r="O45" s="364"/>
      <c r="P45" s="364">
        <f t="shared" si="8"/>
        <v>0</v>
      </c>
      <c r="Q45" s="364"/>
      <c r="R45" s="649">
        <f t="shared" si="9"/>
        <v>0</v>
      </c>
      <c r="S45" s="649"/>
      <c r="T45" s="1162">
        <f t="shared" si="10"/>
        <v>0</v>
      </c>
      <c r="U45" s="1804">
        <f t="shared" si="11"/>
        <v>0</v>
      </c>
      <c r="V45" s="651"/>
      <c r="X45" s="1319"/>
      <c r="Y45" s="984" t="str">
        <f t="shared" si="12"/>
        <v/>
      </c>
      <c r="Z45" s="1319"/>
      <c r="AA45" s="1319"/>
      <c r="AB45" s="1319"/>
      <c r="AC45" s="1319"/>
    </row>
    <row r="46" spans="1:32" hidden="1">
      <c r="A46" s="573">
        <v>32000</v>
      </c>
      <c r="B46" s="574">
        <v>63999</v>
      </c>
      <c r="C46" s="129">
        <f>IF(C30&lt;A46,0,IF(C30&gt;B46,0,C30))</f>
        <v>0</v>
      </c>
      <c r="D46" s="1159">
        <f>IF(C46&gt;0,1824,0)</f>
        <v>0</v>
      </c>
      <c r="E46" s="129">
        <f>IF(D46=0,0,0.0285)</f>
        <v>0</v>
      </c>
      <c r="F46" s="129">
        <f t="shared" si="16"/>
        <v>0</v>
      </c>
      <c r="G46" s="329">
        <f>F46*G31</f>
        <v>0</v>
      </c>
      <c r="J46" s="1815"/>
      <c r="K46" s="364"/>
      <c r="L46" s="364">
        <f t="shared" si="6"/>
        <v>0</v>
      </c>
      <c r="M46" s="364"/>
      <c r="N46" s="364">
        <f t="shared" si="7"/>
        <v>0</v>
      </c>
      <c r="O46" s="364"/>
      <c r="P46" s="364">
        <f t="shared" si="8"/>
        <v>0</v>
      </c>
      <c r="Q46" s="364"/>
      <c r="R46" s="649">
        <f t="shared" si="9"/>
        <v>0</v>
      </c>
      <c r="S46" s="649"/>
      <c r="T46" s="1162">
        <f t="shared" si="10"/>
        <v>0</v>
      </c>
      <c r="U46" s="1804">
        <f t="shared" si="11"/>
        <v>0</v>
      </c>
      <c r="V46" s="651"/>
      <c r="X46" s="1319"/>
      <c r="Y46" s="984" t="str">
        <f t="shared" si="12"/>
        <v/>
      </c>
      <c r="Z46" s="1319"/>
      <c r="AA46" s="1319"/>
      <c r="AB46" s="1319"/>
      <c r="AC46" s="1319"/>
    </row>
    <row r="47" spans="1:32" hidden="1">
      <c r="A47" s="573">
        <v>64000</v>
      </c>
      <c r="B47" s="574">
        <v>128000</v>
      </c>
      <c r="C47" s="129">
        <f>IF(C30&lt;A47,0,IF(C30&gt;B47,0,C30))</f>
        <v>0</v>
      </c>
      <c r="D47" s="129">
        <f>IF(C47&gt;0,2736,0)</f>
        <v>0</v>
      </c>
      <c r="E47" s="129">
        <f>IF(D47=0,0,0.021375)</f>
        <v>0</v>
      </c>
      <c r="F47" s="129">
        <f>IF(D47=0,0,((C47-A47)*E47)+D47)</f>
        <v>0</v>
      </c>
      <c r="G47" s="329">
        <f>F47*G31</f>
        <v>0</v>
      </c>
      <c r="J47" s="1815"/>
      <c r="K47" s="364"/>
      <c r="L47" s="364">
        <f t="shared" si="6"/>
        <v>0</v>
      </c>
      <c r="M47" s="364"/>
      <c r="N47" s="364">
        <f t="shared" si="7"/>
        <v>0</v>
      </c>
      <c r="O47" s="364"/>
      <c r="P47" s="364">
        <f t="shared" si="8"/>
        <v>0</v>
      </c>
      <c r="Q47" s="364"/>
      <c r="R47" s="649">
        <f t="shared" si="9"/>
        <v>0</v>
      </c>
      <c r="S47" s="649"/>
      <c r="T47" s="1162">
        <f t="shared" si="10"/>
        <v>0</v>
      </c>
      <c r="U47" s="1804">
        <f t="shared" si="11"/>
        <v>0</v>
      </c>
      <c r="V47" s="651"/>
      <c r="X47" s="1319"/>
      <c r="Y47" s="984" t="str">
        <f t="shared" si="12"/>
        <v/>
      </c>
      <c r="Z47" s="1319"/>
      <c r="AA47" s="1319"/>
      <c r="AB47" s="1319"/>
      <c r="AC47" s="1319"/>
    </row>
    <row r="48" spans="1:32" ht="21" customHeight="1" thickBot="1">
      <c r="A48" s="2711" t="s">
        <v>6</v>
      </c>
      <c r="B48" s="2711"/>
      <c r="C48" s="2711"/>
      <c r="D48" s="2711"/>
      <c r="E48" s="2711"/>
      <c r="F48" s="2711"/>
      <c r="G48" s="2711"/>
      <c r="I48" s="646" t="str">
        <f>IF(AND(C50&gt;0,C96+C118=0),A49,IF(AND(C96&gt;0,C50+C118=0),A95,IF(AND(C118&gt;0,C96+C50=0),A117," Poster, PLV, affichettes, catalogues et brochures cumulés")))</f>
        <v xml:space="preserve"> Poster, PLV, affichettes, catalogues et brochures cumulés</v>
      </c>
      <c r="J48" s="1816">
        <f>G95+G49+G117/COUNT(G95+G49+G117)</f>
        <v>0</v>
      </c>
      <c r="K48" s="364"/>
      <c r="L48" s="364">
        <f t="shared" si="6"/>
        <v>0</v>
      </c>
      <c r="M48" s="364"/>
      <c r="N48" s="364">
        <f t="shared" si="7"/>
        <v>0</v>
      </c>
      <c r="O48" s="364"/>
      <c r="P48" s="364">
        <f t="shared" si="8"/>
        <v>0</v>
      </c>
      <c r="Q48" s="364"/>
      <c r="R48" s="649">
        <f t="shared" si="9"/>
        <v>0</v>
      </c>
      <c r="S48" s="649"/>
      <c r="T48" s="1162">
        <f t="shared" si="10"/>
        <v>0</v>
      </c>
      <c r="U48" s="1804">
        <f t="shared" si="11"/>
        <v>0</v>
      </c>
      <c r="V48" s="652"/>
      <c r="W48" s="647">
        <v>0</v>
      </c>
      <c r="X48" s="1320">
        <f>IF(V48="x","",U48-(U48*W48))</f>
        <v>0</v>
      </c>
      <c r="Y48" s="984" t="str">
        <f t="shared" si="12"/>
        <v/>
      </c>
      <c r="Z48" s="1321">
        <f>U48*0.9</f>
        <v>0</v>
      </c>
      <c r="AA48" s="1321">
        <f>U48*0.8</f>
        <v>0</v>
      </c>
      <c r="AB48" s="1321">
        <f>U48*0.7</f>
        <v>0</v>
      </c>
      <c r="AC48" s="1323">
        <f>U48*0.6</f>
        <v>0</v>
      </c>
      <c r="AF48">
        <f>K48+M48+O48+Q48+S48</f>
        <v>0</v>
      </c>
    </row>
    <row r="49" spans="1:30" ht="54" customHeight="1" thickTop="1">
      <c r="A49" s="2681" t="s">
        <v>2</v>
      </c>
      <c r="B49" s="2235"/>
      <c r="C49" s="2235"/>
      <c r="D49" s="2235"/>
      <c r="E49" s="2235"/>
      <c r="F49" s="2235"/>
      <c r="G49" s="1183">
        <f>ROUND(SUM(G54:G68),0)</f>
        <v>0</v>
      </c>
      <c r="I49" s="2696" t="s">
        <v>276</v>
      </c>
      <c r="J49" s="2696"/>
      <c r="K49" s="2696"/>
      <c r="L49" s="2696"/>
      <c r="M49" s="2696"/>
      <c r="N49" s="2696"/>
      <c r="O49" s="2696"/>
      <c r="P49" s="2696"/>
      <c r="Q49" s="2696"/>
      <c r="R49" s="2696"/>
      <c r="S49" s="2696"/>
      <c r="T49" s="2697"/>
      <c r="U49" s="2698"/>
      <c r="V49" s="2699"/>
      <c r="W49" s="2699"/>
      <c r="X49" s="2699"/>
      <c r="AC49" s="2688" t="s">
        <v>925</v>
      </c>
      <c r="AD49" s="2689"/>
    </row>
    <row r="50" spans="1:30" ht="22" customHeight="1">
      <c r="A50" s="2648" t="s">
        <v>107</v>
      </c>
      <c r="B50" s="2649"/>
      <c r="C50" s="2654">
        <v>0</v>
      </c>
      <c r="D50" s="2662">
        <f>IF(C50=0,0,IF(C50&lt;50,"Valeurs non officielles recalculées sur la base du barème",0))</f>
        <v>0</v>
      </c>
      <c r="E50" s="2663"/>
      <c r="F50" s="2664"/>
      <c r="G50" s="2668" t="s">
        <v>1046</v>
      </c>
      <c r="I50" s="615"/>
      <c r="J50" s="1030"/>
      <c r="K50" s="1030"/>
      <c r="L50" s="1030"/>
      <c r="M50" s="1030"/>
      <c r="N50" s="1030"/>
      <c r="O50" s="1030"/>
      <c r="P50" s="1030"/>
      <c r="Q50" s="1030" t="str">
        <f>IF(K48="x","pleine page",IF(M48="x","1/2 page",IF(O48="x","1/4 page",IF(Q48="x","1/8 page",IF(S48="x","vignette","")))))</f>
        <v/>
      </c>
      <c r="R50" s="1030"/>
      <c r="S50" s="1030"/>
      <c r="T50" s="1030"/>
      <c r="AC50" s="2690"/>
      <c r="AD50" s="2691"/>
    </row>
    <row r="51" spans="1:30" ht="27" customHeight="1">
      <c r="A51" s="2650"/>
      <c r="B51" s="2651"/>
      <c r="C51" s="2655"/>
      <c r="D51" s="2645" t="s">
        <v>106</v>
      </c>
      <c r="E51" s="2646"/>
      <c r="F51" s="2647"/>
      <c r="G51" s="2669"/>
      <c r="I51" s="1147" t="s">
        <v>1153</v>
      </c>
      <c r="J51" s="1030"/>
      <c r="K51" s="1030"/>
      <c r="L51" s="1030"/>
      <c r="M51" s="1030"/>
      <c r="N51" s="1030"/>
      <c r="O51" s="1030"/>
      <c r="P51" s="1030"/>
      <c r="Q51" s="1030"/>
      <c r="R51" s="1030"/>
      <c r="S51" s="1030"/>
      <c r="T51" s="1030"/>
      <c r="AC51" s="593"/>
      <c r="AD51" s="593"/>
    </row>
    <row r="52" spans="1:30">
      <c r="A52" s="2652"/>
      <c r="B52" s="2653"/>
      <c r="C52" s="2656"/>
      <c r="D52" s="2722" t="s">
        <v>66</v>
      </c>
      <c r="E52" s="2723"/>
      <c r="F52" s="2724"/>
      <c r="G52" s="1167">
        <v>5</v>
      </c>
      <c r="I52" s="1148" t="s">
        <v>1266</v>
      </c>
      <c r="J52" s="1031"/>
      <c r="K52" s="1031"/>
      <c r="L52" s="1031"/>
      <c r="M52" s="1031"/>
      <c r="N52" s="1031"/>
      <c r="O52" s="1031"/>
      <c r="P52" s="1031"/>
      <c r="Q52" s="1031"/>
      <c r="R52" s="1031"/>
      <c r="S52" s="1031"/>
      <c r="T52" s="1031"/>
      <c r="AC52" s="593"/>
      <c r="AD52" s="593"/>
    </row>
    <row r="53" spans="1:30" hidden="1">
      <c r="A53" s="2661"/>
      <c r="B53" s="2661"/>
      <c r="C53" s="129"/>
      <c r="D53" s="5"/>
      <c r="E53" s="129"/>
      <c r="F53" s="129"/>
      <c r="G53" s="572"/>
      <c r="I53" s="1148" t="s">
        <v>1209</v>
      </c>
      <c r="AC53" s="583"/>
      <c r="AD53" s="591"/>
    </row>
    <row r="54" spans="1:30" hidden="1">
      <c r="A54" s="1165">
        <v>0</v>
      </c>
      <c r="B54" s="1174">
        <v>12</v>
      </c>
      <c r="C54" s="1165">
        <f>IF($C$50&lt;A54,0,IF($C$50&gt;B54,0,$C$50))</f>
        <v>0</v>
      </c>
      <c r="D54" s="1165">
        <f>IF(C54&gt;0,3,0)</f>
        <v>0</v>
      </c>
      <c r="E54" s="1165"/>
      <c r="F54" s="1159">
        <f t="shared" ref="F54:F57" si="17">IF(D54=0,0,((C54-A54)*E54)+D54)</f>
        <v>0</v>
      </c>
      <c r="G54" s="329">
        <f t="shared" ref="G54:G56" si="18">F54*$G$52</f>
        <v>0</v>
      </c>
      <c r="AC54" s="583"/>
      <c r="AD54" s="591"/>
    </row>
    <row r="55" spans="1:30" hidden="1">
      <c r="A55" s="1166">
        <f>A56/2</f>
        <v>12.5</v>
      </c>
      <c r="B55" s="1174">
        <f>A56-1</f>
        <v>24</v>
      </c>
      <c r="C55" s="1165">
        <f t="shared" ref="C55:C56" si="19">IF($C$50&lt;A55,0,IF($C$50&gt;B55,0,$C$50))</f>
        <v>0</v>
      </c>
      <c r="D55" s="1165">
        <f>IF(C55&gt;0,3,0)</f>
        <v>0</v>
      </c>
      <c r="E55" s="1165">
        <f>IF(D55=0,0,0.1204)</f>
        <v>0</v>
      </c>
      <c r="F55" s="1159">
        <f t="shared" si="17"/>
        <v>0</v>
      </c>
      <c r="G55" s="329">
        <f t="shared" si="18"/>
        <v>0</v>
      </c>
      <c r="AC55" s="583"/>
      <c r="AD55" s="591"/>
    </row>
    <row r="56" spans="1:30" hidden="1">
      <c r="A56" s="1166">
        <f>A57/2</f>
        <v>25</v>
      </c>
      <c r="B56" s="1174">
        <f>A57-1</f>
        <v>49</v>
      </c>
      <c r="C56" s="1165">
        <f t="shared" si="19"/>
        <v>0</v>
      </c>
      <c r="D56" s="1165">
        <f>IF(C56&gt;0,5,0)</f>
        <v>0</v>
      </c>
      <c r="E56" s="1165">
        <f>IF(D56=0,0,0.889)</f>
        <v>0</v>
      </c>
      <c r="F56" s="1159">
        <f t="shared" si="17"/>
        <v>0</v>
      </c>
      <c r="G56" s="329">
        <f t="shared" si="18"/>
        <v>0</v>
      </c>
      <c r="AC56" s="583"/>
      <c r="AD56" s="591"/>
    </row>
    <row r="57" spans="1:30" hidden="1">
      <c r="A57" s="573">
        <f>A58/2</f>
        <v>50</v>
      </c>
      <c r="B57" s="574">
        <v>99</v>
      </c>
      <c r="C57" s="1159">
        <f>IF($C$50&lt;A57,0,IF($C$50&gt;B57,0,$C$50))</f>
        <v>0</v>
      </c>
      <c r="D57" s="1159">
        <f>IF(C57&gt;0,7,0)</f>
        <v>0</v>
      </c>
      <c r="E57" s="1159">
        <f>IF(D57=0,0,0.667)</f>
        <v>0</v>
      </c>
      <c r="F57" s="1159">
        <f t="shared" si="17"/>
        <v>0</v>
      </c>
      <c r="G57" s="329">
        <f>F57*$G$52</f>
        <v>0</v>
      </c>
      <c r="AC57" s="584"/>
      <c r="AD57" s="592"/>
    </row>
    <row r="58" spans="1:30" hidden="1">
      <c r="A58" s="573">
        <v>100</v>
      </c>
      <c r="B58" s="574">
        <v>199</v>
      </c>
      <c r="C58" s="129">
        <f>IF(C50&lt;A58,0,IF(C50&gt;B58,0,C50))</f>
        <v>0</v>
      </c>
      <c r="D58" s="129">
        <f>IF(C58&gt;0,10,0)</f>
        <v>0</v>
      </c>
      <c r="E58" s="129">
        <f>IF(D58=0,0,0.5)</f>
        <v>0</v>
      </c>
      <c r="F58" s="129">
        <f>IF(D58=0,0,((C58-A58)*E58)+D58)</f>
        <v>0</v>
      </c>
      <c r="G58" s="329">
        <f>F58*G52</f>
        <v>0</v>
      </c>
    </row>
    <row r="59" spans="1:30" hidden="1">
      <c r="A59" s="573">
        <v>200</v>
      </c>
      <c r="B59" s="574">
        <v>399</v>
      </c>
      <c r="C59" s="129">
        <f>IF(C50&lt;A59,0,IF(C50&gt;B59,0,C50))</f>
        <v>0</v>
      </c>
      <c r="D59" s="129">
        <f>IF(C59&gt;0,15,0)</f>
        <v>0</v>
      </c>
      <c r="E59" s="129">
        <f>IF(D59=0,0,0.35)</f>
        <v>0</v>
      </c>
      <c r="F59" s="129">
        <f t="shared" ref="F59:F68" si="20">IF(D59=0,0,((C59-A59)*E59)+D59)</f>
        <v>0</v>
      </c>
      <c r="G59" s="329">
        <f>F59*G52</f>
        <v>0</v>
      </c>
    </row>
    <row r="60" spans="1:30" hidden="1">
      <c r="A60" s="573">
        <v>400</v>
      </c>
      <c r="B60" s="574">
        <v>799</v>
      </c>
      <c r="C60" s="129">
        <f>IF(C50&lt;A60,0,IF(C50&gt;B60,0,C50))</f>
        <v>0</v>
      </c>
      <c r="D60" s="129">
        <f>IF(C60&gt;0,22,0)</f>
        <v>0</v>
      </c>
      <c r="E60" s="129">
        <f>IF(D60=0,0,0.3)</f>
        <v>0</v>
      </c>
      <c r="F60" s="129">
        <f t="shared" si="20"/>
        <v>0</v>
      </c>
      <c r="G60" s="329">
        <f>F60*G52</f>
        <v>0</v>
      </c>
    </row>
    <row r="61" spans="1:30" hidden="1">
      <c r="A61" s="573">
        <v>800</v>
      </c>
      <c r="B61" s="574">
        <v>1599</v>
      </c>
      <c r="C61" s="129">
        <f>IF(C50&lt;A61,0,IF(C50&gt;B61,0,C50))</f>
        <v>0</v>
      </c>
      <c r="D61" s="129">
        <f>IF(C61&gt;0,34,0)</f>
        <v>0</v>
      </c>
      <c r="E61" s="129">
        <f>IF(D61=0,0,0.02)</f>
        <v>0</v>
      </c>
      <c r="F61" s="129">
        <f t="shared" si="20"/>
        <v>0</v>
      </c>
      <c r="G61" s="329">
        <f>F61*G52</f>
        <v>0</v>
      </c>
    </row>
    <row r="62" spans="1:30" hidden="1">
      <c r="A62" s="573">
        <v>1600</v>
      </c>
      <c r="B62" s="574">
        <v>3199</v>
      </c>
      <c r="C62" s="129">
        <f>IF(C50&lt;A62,0,IF(C50&gt;B62,0,C50))</f>
        <v>0</v>
      </c>
      <c r="D62" s="129">
        <f>IF(C62&gt;0,50,0)</f>
        <v>0</v>
      </c>
      <c r="E62" s="129">
        <f>IF(D62=0,0,0.026)</f>
        <v>0</v>
      </c>
      <c r="F62" s="129">
        <f t="shared" si="20"/>
        <v>0</v>
      </c>
      <c r="G62" s="329">
        <f>F62*G52</f>
        <v>0</v>
      </c>
    </row>
    <row r="63" spans="1:30" hidden="1">
      <c r="A63" s="573">
        <v>3200</v>
      </c>
      <c r="B63" s="574">
        <v>6399</v>
      </c>
      <c r="C63" s="129">
        <f>IF(C50&lt;A63,0,IF(C50&gt;B63,0,C50))</f>
        <v>0</v>
      </c>
      <c r="D63" s="129">
        <f>IF(C63&gt;0,76,0)</f>
        <v>0</v>
      </c>
      <c r="E63" s="129">
        <f>IF(D63=0,0,0.012)</f>
        <v>0</v>
      </c>
      <c r="F63" s="129">
        <f t="shared" si="20"/>
        <v>0</v>
      </c>
      <c r="G63" s="329">
        <f>F63*G52</f>
        <v>0</v>
      </c>
    </row>
    <row r="64" spans="1:30" hidden="1">
      <c r="A64" s="573">
        <v>6400</v>
      </c>
      <c r="B64" s="574">
        <v>12799</v>
      </c>
      <c r="C64" s="129">
        <f>IF(C50&lt;A64,0,IF(C50&gt;B64,0,C50))</f>
        <v>0</v>
      </c>
      <c r="D64" s="129">
        <f>IF(C64&gt;0,114,0)</f>
        <v>0</v>
      </c>
      <c r="E64" s="129">
        <f>IF(D64=0,0,0.0087)</f>
        <v>0</v>
      </c>
      <c r="F64" s="129">
        <f t="shared" si="20"/>
        <v>0</v>
      </c>
      <c r="G64" s="329">
        <f>F64*G52</f>
        <v>0</v>
      </c>
    </row>
    <row r="65" spans="1:30" hidden="1">
      <c r="A65" s="573">
        <v>12800</v>
      </c>
      <c r="B65" s="574">
        <v>24599</v>
      </c>
      <c r="C65" s="129">
        <f>IF(C50&lt;A65,0,IF(C50&gt;B65,0,C50))</f>
        <v>0</v>
      </c>
      <c r="D65" s="129">
        <f>IF(C65&gt;0,170,0)</f>
        <v>0</v>
      </c>
      <c r="E65" s="129">
        <f>IF(D65=0,0,0.0067)</f>
        <v>0</v>
      </c>
      <c r="F65" s="129">
        <f t="shared" si="20"/>
        <v>0</v>
      </c>
      <c r="G65" s="329">
        <f>F65*G52</f>
        <v>0</v>
      </c>
    </row>
    <row r="66" spans="1:30" hidden="1">
      <c r="A66" s="573">
        <v>25600</v>
      </c>
      <c r="B66" s="574">
        <v>51199</v>
      </c>
      <c r="C66" s="129">
        <f>IF(C50&lt;A66,0,IF(C50&gt;B66,0,C50))</f>
        <v>0</v>
      </c>
      <c r="D66" s="129">
        <f>IF(C66&gt;0,256,0)</f>
        <v>0</v>
      </c>
      <c r="E66" s="129">
        <f>IF(D66=0,0,0.005)</f>
        <v>0</v>
      </c>
      <c r="F66" s="129">
        <f t="shared" si="20"/>
        <v>0</v>
      </c>
      <c r="G66" s="329">
        <f>F66*G52</f>
        <v>0</v>
      </c>
    </row>
    <row r="67" spans="1:30" hidden="1">
      <c r="A67" s="573">
        <v>51200</v>
      </c>
      <c r="B67" s="574">
        <v>102399</v>
      </c>
      <c r="C67" s="129">
        <f>IF(C50&lt;A67,0,IF(C50&gt;B67,0,C50))</f>
        <v>0</v>
      </c>
      <c r="D67" s="129">
        <f>IF(C67&gt;0,384,0)</f>
        <v>0</v>
      </c>
      <c r="E67" s="129">
        <f>IF(D67=0,0,0.0037)</f>
        <v>0</v>
      </c>
      <c r="F67" s="129">
        <f t="shared" si="20"/>
        <v>0</v>
      </c>
      <c r="G67" s="329">
        <f>F67*G52</f>
        <v>0</v>
      </c>
    </row>
    <row r="68" spans="1:30" hidden="1">
      <c r="A68" s="573">
        <v>102400</v>
      </c>
      <c r="B68" s="574">
        <v>204798</v>
      </c>
      <c r="C68" s="129">
        <f>IF(C50&lt;A68,0,IF(C50&gt;B68,0,C50))</f>
        <v>0</v>
      </c>
      <c r="D68" s="129">
        <f>IF(C68&gt;0,576,0)</f>
        <v>0</v>
      </c>
      <c r="E68" s="129">
        <f>IF(D68=0,0,0.00281255)</f>
        <v>0</v>
      </c>
      <c r="F68" s="129">
        <f t="shared" si="20"/>
        <v>0</v>
      </c>
      <c r="G68" s="329">
        <f>F68*G52</f>
        <v>0</v>
      </c>
    </row>
    <row r="69" spans="1:30">
      <c r="A69"/>
      <c r="C69"/>
      <c r="D69"/>
      <c r="F69"/>
      <c r="I69" s="1901" t="s">
        <v>1267</v>
      </c>
      <c r="AC69" s="101"/>
      <c r="AD69" s="101"/>
    </row>
    <row r="70" spans="1:30" s="5" customFormat="1" ht="38" customHeight="1">
      <c r="A70" s="2290" t="s">
        <v>3</v>
      </c>
      <c r="B70" s="2317"/>
      <c r="C70" s="2317"/>
      <c r="D70" s="2317"/>
      <c r="E70" s="2317"/>
      <c r="F70" s="2317"/>
      <c r="G70" s="577">
        <f>ROUND(SUM(G75:G92),0)</f>
        <v>0</v>
      </c>
      <c r="H70" s="328"/>
      <c r="I70" s="926"/>
      <c r="J70" s="926"/>
      <c r="K70" s="926"/>
      <c r="L70" s="1800"/>
      <c r="M70" s="926"/>
      <c r="N70" s="1800"/>
      <c r="O70" s="926"/>
      <c r="P70" s="1800"/>
      <c r="Q70" s="926"/>
      <c r="R70" s="1800"/>
      <c r="S70" s="926"/>
      <c r="T70" s="1800"/>
      <c r="U70" s="926"/>
      <c r="V70" s="926"/>
      <c r="W70" s="926"/>
      <c r="X70" s="926"/>
      <c r="Y70" s="926"/>
      <c r="Z70" s="926"/>
      <c r="AA70" s="926"/>
      <c r="AB70" s="926"/>
      <c r="AC70" s="926"/>
      <c r="AD70" s="926"/>
    </row>
    <row r="71" spans="1:30" s="5" customFormat="1" ht="19" customHeight="1">
      <c r="A71" s="1315" t="s">
        <v>458</v>
      </c>
      <c r="B71" s="1315" t="s">
        <v>460</v>
      </c>
      <c r="C71" s="2670">
        <f>IF(C72=0,0,IF(C72&lt;500,"Valeurs non officielles recalculées sur la base du barème",0))</f>
        <v>0</v>
      </c>
      <c r="D71" s="2671"/>
      <c r="E71" s="2671"/>
      <c r="F71" s="2672"/>
      <c r="G71" s="2668" t="s">
        <v>73</v>
      </c>
      <c r="H71" s="926"/>
      <c r="I71" s="926"/>
      <c r="J71" s="926"/>
      <c r="K71" s="926"/>
      <c r="L71" s="1800"/>
      <c r="M71" s="926"/>
      <c r="N71" s="1800"/>
      <c r="O71" s="926"/>
      <c r="P71" s="1800"/>
      <c r="Q71" s="926"/>
      <c r="R71" s="1800"/>
      <c r="S71" s="926"/>
      <c r="T71" s="1800"/>
      <c r="U71" s="926"/>
      <c r="V71" s="926"/>
      <c r="W71" s="926"/>
      <c r="X71" s="926"/>
      <c r="Y71" s="926"/>
      <c r="Z71" s="926"/>
      <c r="AA71" s="926"/>
      <c r="AB71" s="926"/>
      <c r="AC71" s="926"/>
      <c r="AD71" s="926"/>
    </row>
    <row r="72" spans="1:30" s="5" customFormat="1" ht="31" customHeight="1">
      <c r="A72" s="952">
        <v>0</v>
      </c>
      <c r="B72" s="952">
        <v>0</v>
      </c>
      <c r="C72" s="581">
        <f>A72*B72</f>
        <v>0</v>
      </c>
      <c r="D72" s="2643" t="s">
        <v>174</v>
      </c>
      <c r="E72" s="2643"/>
      <c r="F72" s="2644"/>
      <c r="G72" s="2658"/>
      <c r="H72" s="926"/>
      <c r="I72" s="926"/>
      <c r="J72" s="926"/>
      <c r="K72" s="926"/>
      <c r="L72" s="1800"/>
      <c r="M72" s="926"/>
      <c r="N72" s="1800"/>
      <c r="O72" s="926"/>
      <c r="P72" s="1800"/>
      <c r="Q72" s="926"/>
      <c r="R72" s="1800"/>
      <c r="S72" s="926"/>
      <c r="T72" s="1800"/>
      <c r="U72" s="926"/>
      <c r="V72" s="926"/>
      <c r="W72" s="926"/>
      <c r="X72" s="926"/>
      <c r="Y72" s="926"/>
      <c r="Z72" s="926"/>
      <c r="AA72" s="926"/>
      <c r="AB72" s="926"/>
      <c r="AC72" s="926"/>
      <c r="AD72" s="926"/>
    </row>
    <row r="73" spans="1:30" s="5" customFormat="1" ht="26" customHeight="1">
      <c r="A73" s="2659" t="s">
        <v>321</v>
      </c>
      <c r="B73" s="2659"/>
      <c r="C73" s="582"/>
      <c r="D73" s="2725" t="s">
        <v>67</v>
      </c>
      <c r="E73" s="2725"/>
      <c r="F73" s="2726"/>
      <c r="G73" s="1167">
        <v>3</v>
      </c>
      <c r="H73" s="926"/>
      <c r="I73" s="926"/>
      <c r="J73" s="926"/>
      <c r="K73" s="926"/>
      <c r="L73" s="1800"/>
      <c r="M73" s="926"/>
      <c r="N73" s="1800"/>
      <c r="O73" s="926"/>
      <c r="P73" s="1800"/>
      <c r="Q73" s="926"/>
      <c r="R73" s="1800"/>
      <c r="S73" s="926"/>
      <c r="T73" s="1800"/>
      <c r="U73" s="926"/>
      <c r="V73" s="926"/>
      <c r="W73" s="926"/>
      <c r="X73" s="926"/>
      <c r="Y73" s="926"/>
      <c r="Z73" s="926"/>
      <c r="AA73" s="926"/>
      <c r="AB73" s="926"/>
      <c r="AC73" s="926"/>
      <c r="AD73" s="926"/>
    </row>
    <row r="74" spans="1:30" s="5" customFormat="1" hidden="1">
      <c r="A74" s="2666" t="s">
        <v>321</v>
      </c>
      <c r="B74" s="2667"/>
      <c r="C74" s="352"/>
      <c r="D74" s="353"/>
      <c r="E74" s="352"/>
      <c r="F74" s="352"/>
      <c r="G74" s="333"/>
      <c r="H74" s="926"/>
      <c r="I74" s="926"/>
      <c r="J74" s="926"/>
      <c r="K74" s="926"/>
      <c r="L74" s="1800"/>
      <c r="M74" s="926"/>
      <c r="N74" s="1800"/>
      <c r="O74" s="926"/>
      <c r="P74" s="1800"/>
      <c r="Q74" s="926"/>
      <c r="R74" s="1800"/>
      <c r="S74" s="926"/>
      <c r="T74" s="1800"/>
      <c r="U74" s="926"/>
      <c r="V74" s="926"/>
      <c r="W74" s="926"/>
      <c r="X74" s="926"/>
      <c r="Y74" s="926"/>
      <c r="Z74" s="926"/>
      <c r="AA74" s="926"/>
      <c r="AB74" s="926"/>
      <c r="AC74" s="926"/>
      <c r="AD74" s="926"/>
    </row>
    <row r="75" spans="1:30" s="1157" customFormat="1" hidden="1">
      <c r="A75" s="1166">
        <v>0</v>
      </c>
      <c r="B75" s="1174">
        <f t="shared" ref="B75:B80" si="21">A76-1</f>
        <v>6.8125</v>
      </c>
      <c r="C75" s="1165">
        <f t="shared" ref="C75:C80" si="22">IF($C$72&lt;A75,0,IF($C$72&gt;B75,0,$C$72))</f>
        <v>0</v>
      </c>
      <c r="D75" s="1165">
        <f>IF(C75&gt;0,35,0)</f>
        <v>0</v>
      </c>
      <c r="E75" s="1165"/>
      <c r="F75" s="1165">
        <f t="shared" ref="F75:F81" si="23">IF(D75=0,0,((C75-A75)*E75)+D75)</f>
        <v>0</v>
      </c>
      <c r="G75" s="259">
        <f t="shared" ref="G75:G80" si="24">F75*$G$73</f>
        <v>0</v>
      </c>
      <c r="L75" s="1800"/>
      <c r="N75" s="1800"/>
      <c r="P75" s="1800"/>
      <c r="R75" s="1800"/>
      <c r="T75" s="1800"/>
    </row>
    <row r="76" spans="1:30" s="1157" customFormat="1" hidden="1">
      <c r="A76" s="1166">
        <f t="shared" ref="A76:A81" si="25">A77/2</f>
        <v>7.8125</v>
      </c>
      <c r="B76" s="1174">
        <f t="shared" si="21"/>
        <v>14.625</v>
      </c>
      <c r="C76" s="1165">
        <f t="shared" si="22"/>
        <v>0</v>
      </c>
      <c r="D76" s="1165">
        <f>IF(C76&gt;0,35,0)</f>
        <v>0</v>
      </c>
      <c r="E76" s="1165">
        <f t="shared" ref="E76:E81" si="26">IF(D76=0,0,0.4)</f>
        <v>0</v>
      </c>
      <c r="F76" s="1165">
        <f t="shared" si="23"/>
        <v>0</v>
      </c>
      <c r="G76" s="259">
        <f t="shared" si="24"/>
        <v>0</v>
      </c>
      <c r="L76" s="1800"/>
      <c r="N76" s="1800"/>
      <c r="P76" s="1800"/>
      <c r="R76" s="1800"/>
      <c r="T76" s="1800"/>
    </row>
    <row r="77" spans="1:30" s="1157" customFormat="1" hidden="1">
      <c r="A77" s="1166">
        <f t="shared" si="25"/>
        <v>15.625</v>
      </c>
      <c r="B77" s="1174">
        <f t="shared" si="21"/>
        <v>30.25</v>
      </c>
      <c r="C77" s="1165">
        <f t="shared" si="22"/>
        <v>0</v>
      </c>
      <c r="D77" s="1165">
        <f>IF(C77&gt;0,53,0)</f>
        <v>0</v>
      </c>
      <c r="E77" s="1165">
        <f t="shared" si="26"/>
        <v>0</v>
      </c>
      <c r="F77" s="1165">
        <f t="shared" si="23"/>
        <v>0</v>
      </c>
      <c r="G77" s="259">
        <f t="shared" si="24"/>
        <v>0</v>
      </c>
      <c r="L77" s="1800"/>
      <c r="N77" s="1800"/>
      <c r="P77" s="1800"/>
      <c r="R77" s="1800"/>
      <c r="T77" s="1800"/>
    </row>
    <row r="78" spans="1:30" s="1157" customFormat="1" hidden="1">
      <c r="A78" s="1166">
        <f t="shared" si="25"/>
        <v>31.25</v>
      </c>
      <c r="B78" s="1174">
        <f t="shared" si="21"/>
        <v>61.5</v>
      </c>
      <c r="C78" s="1165">
        <f t="shared" si="22"/>
        <v>0</v>
      </c>
      <c r="D78" s="1165">
        <f>IF(C78&gt;0,79,0)</f>
        <v>0</v>
      </c>
      <c r="E78" s="1165">
        <f t="shared" si="26"/>
        <v>0</v>
      </c>
      <c r="F78" s="1165">
        <f t="shared" si="23"/>
        <v>0</v>
      </c>
      <c r="G78" s="259">
        <f t="shared" si="24"/>
        <v>0</v>
      </c>
      <c r="L78" s="1800"/>
      <c r="N78" s="1800"/>
      <c r="P78" s="1800"/>
      <c r="R78" s="1800"/>
      <c r="T78" s="1800"/>
    </row>
    <row r="79" spans="1:30" s="1157" customFormat="1" hidden="1">
      <c r="A79" s="1166">
        <f t="shared" si="25"/>
        <v>62.5</v>
      </c>
      <c r="B79" s="1174">
        <f t="shared" si="21"/>
        <v>124</v>
      </c>
      <c r="C79" s="1165">
        <f t="shared" si="22"/>
        <v>0</v>
      </c>
      <c r="D79" s="1165">
        <f>IF(C79&gt;0,118,0)</f>
        <v>0</v>
      </c>
      <c r="E79" s="1165">
        <f t="shared" si="26"/>
        <v>0</v>
      </c>
      <c r="F79" s="1165">
        <f t="shared" si="23"/>
        <v>0</v>
      </c>
      <c r="G79" s="259">
        <f t="shared" si="24"/>
        <v>0</v>
      </c>
      <c r="L79" s="1800"/>
      <c r="N79" s="1800"/>
      <c r="P79" s="1800"/>
      <c r="R79" s="1800"/>
      <c r="T79" s="1800"/>
    </row>
    <row r="80" spans="1:30" s="1157" customFormat="1" hidden="1">
      <c r="A80" s="1166">
        <f t="shared" si="25"/>
        <v>125</v>
      </c>
      <c r="B80" s="1174">
        <f t="shared" si="21"/>
        <v>249</v>
      </c>
      <c r="C80" s="1165">
        <f t="shared" si="22"/>
        <v>0</v>
      </c>
      <c r="D80" s="1165">
        <f>IF(C80&gt;0,178,0)</f>
        <v>0</v>
      </c>
      <c r="E80" s="1165">
        <f t="shared" si="26"/>
        <v>0</v>
      </c>
      <c r="F80" s="1165">
        <f t="shared" si="23"/>
        <v>0</v>
      </c>
      <c r="G80" s="259">
        <f t="shared" si="24"/>
        <v>0</v>
      </c>
      <c r="L80" s="1800"/>
      <c r="N80" s="1800"/>
      <c r="P80" s="1800"/>
      <c r="R80" s="1800"/>
      <c r="T80" s="1800"/>
    </row>
    <row r="81" spans="1:30" s="5" customFormat="1" hidden="1">
      <c r="A81" s="1166">
        <f t="shared" si="25"/>
        <v>250</v>
      </c>
      <c r="B81" s="1175">
        <v>499</v>
      </c>
      <c r="C81" s="1165">
        <f>IF($C$72&lt;A81,0,IF($C$72&gt;B81,0,$C$72))</f>
        <v>0</v>
      </c>
      <c r="D81" s="1165">
        <f>IF(C81&gt;0,267,0)</f>
        <v>0</v>
      </c>
      <c r="E81" s="1165">
        <f t="shared" si="26"/>
        <v>0</v>
      </c>
      <c r="F81" s="1176">
        <f t="shared" si="23"/>
        <v>0</v>
      </c>
      <c r="G81" s="259">
        <f>F81*$G$73</f>
        <v>0</v>
      </c>
      <c r="H81" s="926"/>
      <c r="I81" s="926"/>
      <c r="J81" s="926"/>
      <c r="K81" s="926"/>
      <c r="L81" s="1800"/>
      <c r="M81" s="926"/>
      <c r="N81" s="1800"/>
      <c r="O81" s="926"/>
      <c r="P81" s="1800"/>
      <c r="Q81" s="926"/>
      <c r="R81" s="1800"/>
      <c r="S81" s="926"/>
      <c r="T81" s="1800"/>
      <c r="U81" s="926"/>
      <c r="V81" s="926"/>
      <c r="W81" s="926"/>
      <c r="X81" s="926"/>
      <c r="Y81" s="926"/>
      <c r="Z81" s="926"/>
      <c r="AA81" s="926"/>
      <c r="AB81" s="926"/>
      <c r="AC81" s="926"/>
      <c r="AD81" s="926"/>
    </row>
    <row r="82" spans="1:30" s="5" customFormat="1" hidden="1">
      <c r="A82" s="354">
        <v>500</v>
      </c>
      <c r="B82" s="355">
        <v>999</v>
      </c>
      <c r="C82" s="356">
        <f>IF(C72&lt;A82,0,IF(C72&gt;B82,0,C72))</f>
        <v>0</v>
      </c>
      <c r="D82" s="356">
        <f>IF(C82&gt;0,400,0)</f>
        <v>0</v>
      </c>
      <c r="E82" s="356">
        <f>IF(D82=0,0,0.4)</f>
        <v>0</v>
      </c>
      <c r="F82" s="356">
        <f>IF(D82=0,0,((C82-A82)*E82)+D82)</f>
        <v>0</v>
      </c>
      <c r="G82" s="259">
        <f t="shared" ref="G82:G92" si="27">F82*$G$73</f>
        <v>0</v>
      </c>
      <c r="H82" s="926"/>
      <c r="I82" s="926"/>
      <c r="J82" s="926"/>
      <c r="K82" s="926"/>
      <c r="L82" s="1800"/>
      <c r="M82" s="926"/>
      <c r="N82" s="1800"/>
      <c r="O82" s="926"/>
      <c r="P82" s="1800"/>
      <c r="Q82" s="926"/>
      <c r="R82" s="1800"/>
      <c r="S82" s="926"/>
      <c r="T82" s="1800"/>
      <c r="U82" s="926"/>
      <c r="V82" s="926"/>
      <c r="W82" s="926"/>
      <c r="X82" s="926"/>
      <c r="Y82" s="926"/>
      <c r="Z82" s="926"/>
      <c r="AA82" s="926"/>
      <c r="AB82" s="926"/>
      <c r="AC82" s="926"/>
      <c r="AD82" s="926"/>
    </row>
    <row r="83" spans="1:30" s="5" customFormat="1" hidden="1">
      <c r="A83" s="354">
        <v>1000</v>
      </c>
      <c r="B83" s="355">
        <v>1999</v>
      </c>
      <c r="C83" s="356">
        <f>IF(C72&lt;A83,0,IF(C72&gt;B83,0,C72))</f>
        <v>0</v>
      </c>
      <c r="D83" s="356">
        <f>IF(C83&gt;0,600,0)</f>
        <v>0</v>
      </c>
      <c r="E83" s="356">
        <f>IF(D83=0,0,0.3)</f>
        <v>0</v>
      </c>
      <c r="F83" s="356">
        <f>IF(D83=0,0,((C83-A83)*E83)+D83)</f>
        <v>0</v>
      </c>
      <c r="G83" s="259">
        <f t="shared" si="27"/>
        <v>0</v>
      </c>
      <c r="H83" s="926"/>
      <c r="I83" s="926"/>
      <c r="J83" s="926"/>
      <c r="K83" s="926"/>
      <c r="L83" s="1800"/>
      <c r="M83" s="926"/>
      <c r="N83" s="1800"/>
      <c r="O83" s="926"/>
      <c r="P83" s="1800"/>
      <c r="Q83" s="926"/>
      <c r="R83" s="1800"/>
      <c r="S83" s="926"/>
      <c r="T83" s="1800"/>
      <c r="U83" s="926"/>
      <c r="V83" s="926"/>
      <c r="W83" s="926"/>
      <c r="X83" s="926"/>
      <c r="Y83" s="926"/>
      <c r="Z83" s="926"/>
      <c r="AA83" s="926"/>
      <c r="AB83" s="926"/>
      <c r="AC83" s="926"/>
      <c r="AD83" s="926"/>
    </row>
    <row r="84" spans="1:30" s="5" customFormat="1" hidden="1">
      <c r="A84" s="354">
        <v>2000</v>
      </c>
      <c r="B84" s="355">
        <v>3999</v>
      </c>
      <c r="C84" s="356">
        <f>IF(C72&lt;A84,0,IF(C72&gt;B84,0,C72))</f>
        <v>0</v>
      </c>
      <c r="D84" s="356">
        <f>IF(C84&gt;0,900,0)</f>
        <v>0</v>
      </c>
      <c r="E84" s="356">
        <f>IF(D84=0,0,0.225)</f>
        <v>0</v>
      </c>
      <c r="F84" s="356">
        <f>IF(D84=0,0,((C84-A84)*E84)+D84)</f>
        <v>0</v>
      </c>
      <c r="G84" s="259">
        <f t="shared" si="27"/>
        <v>0</v>
      </c>
      <c r="H84" s="926"/>
      <c r="I84" s="926"/>
      <c r="J84" s="926"/>
      <c r="K84" s="926"/>
      <c r="L84" s="1800"/>
      <c r="M84" s="926"/>
      <c r="N84" s="1800"/>
      <c r="O84" s="926"/>
      <c r="P84" s="1800"/>
      <c r="Q84" s="926"/>
      <c r="R84" s="1800"/>
      <c r="S84" s="926"/>
      <c r="T84" s="1800"/>
      <c r="U84" s="926"/>
      <c r="V84" s="926"/>
      <c r="W84" s="926"/>
      <c r="X84" s="926"/>
      <c r="Y84" s="926"/>
      <c r="Z84" s="926"/>
      <c r="AA84" s="926"/>
      <c r="AB84" s="926"/>
      <c r="AC84" s="926"/>
      <c r="AD84" s="926"/>
    </row>
    <row r="85" spans="1:30" s="5" customFormat="1" hidden="1">
      <c r="A85" s="573">
        <f t="shared" ref="A85:A92" si="28">A84*2</f>
        <v>4000</v>
      </c>
      <c r="B85" s="574">
        <v>7999</v>
      </c>
      <c r="C85" s="1165">
        <f>IF($C$72&lt;A85,0,IF($C$72&gt;B85,0,$C$72))</f>
        <v>0</v>
      </c>
      <c r="D85" s="1159">
        <f>IF(C85&gt;0,1350,0)</f>
        <v>0</v>
      </c>
      <c r="E85" s="1159">
        <f>IF(D85=0,0,0.169)</f>
        <v>0</v>
      </c>
      <c r="F85" s="1176">
        <f t="shared" ref="F85:F91" si="29">IF(D85=0,0,((C85-A85)*E85)+D85)</f>
        <v>0</v>
      </c>
      <c r="G85" s="259">
        <f t="shared" si="27"/>
        <v>0</v>
      </c>
      <c r="H85" s="926"/>
      <c r="I85" s="926"/>
      <c r="J85" s="926"/>
      <c r="K85" s="926"/>
      <c r="L85" s="1800"/>
      <c r="M85" s="926"/>
      <c r="N85" s="1800"/>
      <c r="O85" s="926"/>
      <c r="P85" s="1800"/>
      <c r="Q85" s="926"/>
      <c r="R85" s="1800"/>
      <c r="S85" s="926"/>
      <c r="T85" s="1800"/>
      <c r="U85" s="926"/>
      <c r="V85" s="926"/>
      <c r="W85" s="926"/>
      <c r="X85" s="926"/>
      <c r="Y85" s="926"/>
      <c r="Z85" s="926"/>
      <c r="AA85" s="926"/>
      <c r="AB85" s="926"/>
      <c r="AC85" s="926"/>
      <c r="AD85" s="926"/>
    </row>
    <row r="86" spans="1:30" s="1157" customFormat="1" hidden="1">
      <c r="A86" s="573">
        <f t="shared" si="28"/>
        <v>8000</v>
      </c>
      <c r="B86" s="575">
        <f t="shared" ref="B86:B91" si="30">A87-1</f>
        <v>15999</v>
      </c>
      <c r="C86" s="1165">
        <f t="shared" ref="C86:C92" si="31">IF($C$72&lt;A86,0,IF($C$72&gt;B86,0,$C$72))</f>
        <v>0</v>
      </c>
      <c r="D86" s="1159">
        <f>IF(C86&gt;0,2026,0)</f>
        <v>0</v>
      </c>
      <c r="E86" s="1159">
        <f t="shared" ref="E86:E92" si="32">IF(D86=0,0,0.169)</f>
        <v>0</v>
      </c>
      <c r="F86" s="1176">
        <f t="shared" si="29"/>
        <v>0</v>
      </c>
      <c r="G86" s="259">
        <f t="shared" si="27"/>
        <v>0</v>
      </c>
      <c r="L86" s="1800"/>
      <c r="N86" s="1800"/>
      <c r="P86" s="1800"/>
      <c r="R86" s="1800"/>
      <c r="T86" s="1800"/>
    </row>
    <row r="87" spans="1:30" s="1157" customFormat="1" hidden="1">
      <c r="A87" s="573">
        <f t="shared" si="28"/>
        <v>16000</v>
      </c>
      <c r="B87" s="575">
        <f t="shared" si="30"/>
        <v>31999</v>
      </c>
      <c r="C87" s="1165">
        <f t="shared" si="31"/>
        <v>0</v>
      </c>
      <c r="D87" s="1159">
        <f>IF(C87&gt;0,3040,0)</f>
        <v>0</v>
      </c>
      <c r="E87" s="1159">
        <f t="shared" si="32"/>
        <v>0</v>
      </c>
      <c r="F87" s="1176">
        <f t="shared" si="29"/>
        <v>0</v>
      </c>
      <c r="G87" s="259">
        <f t="shared" si="27"/>
        <v>0</v>
      </c>
      <c r="L87" s="1800"/>
      <c r="N87" s="1800"/>
      <c r="P87" s="1800"/>
      <c r="R87" s="1800"/>
      <c r="T87" s="1800"/>
    </row>
    <row r="88" spans="1:30" s="1157" customFormat="1" hidden="1">
      <c r="A88" s="573">
        <f t="shared" si="28"/>
        <v>32000</v>
      </c>
      <c r="B88" s="575">
        <f t="shared" si="30"/>
        <v>63999</v>
      </c>
      <c r="C88" s="1165">
        <f t="shared" si="31"/>
        <v>0</v>
      </c>
      <c r="D88" s="1159">
        <f>IF(C88&gt;0,4560,0)</f>
        <v>0</v>
      </c>
      <c r="E88" s="1159">
        <f t="shared" si="32"/>
        <v>0</v>
      </c>
      <c r="F88" s="1176">
        <f t="shared" si="29"/>
        <v>0</v>
      </c>
      <c r="G88" s="259">
        <f t="shared" si="27"/>
        <v>0</v>
      </c>
      <c r="L88" s="1800"/>
      <c r="N88" s="1800"/>
      <c r="P88" s="1800"/>
      <c r="R88" s="1800"/>
      <c r="T88" s="1800"/>
    </row>
    <row r="89" spans="1:30" s="1157" customFormat="1" hidden="1">
      <c r="A89" s="1177">
        <f t="shared" si="28"/>
        <v>64000</v>
      </c>
      <c r="B89" s="1178">
        <f t="shared" si="30"/>
        <v>127999</v>
      </c>
      <c r="C89" s="1165">
        <f t="shared" si="31"/>
        <v>0</v>
      </c>
      <c r="D89" s="1176">
        <f>IF(C89&gt;0,6840,0)</f>
        <v>0</v>
      </c>
      <c r="E89" s="1176">
        <f t="shared" si="32"/>
        <v>0</v>
      </c>
      <c r="F89" s="1176">
        <f t="shared" si="29"/>
        <v>0</v>
      </c>
      <c r="G89" s="259">
        <f t="shared" si="27"/>
        <v>0</v>
      </c>
      <c r="L89" s="1800"/>
      <c r="N89" s="1800"/>
      <c r="P89" s="1800"/>
      <c r="R89" s="1800"/>
      <c r="T89" s="1800"/>
    </row>
    <row r="90" spans="1:30" s="1157" customFormat="1" hidden="1">
      <c r="A90" s="1177">
        <f t="shared" si="28"/>
        <v>128000</v>
      </c>
      <c r="B90" s="1178">
        <f t="shared" si="30"/>
        <v>255999</v>
      </c>
      <c r="C90" s="1165">
        <f t="shared" si="31"/>
        <v>0</v>
      </c>
      <c r="D90" s="1176">
        <f>IF(C90&gt;0,10260,0)</f>
        <v>0</v>
      </c>
      <c r="E90" s="1176">
        <f t="shared" si="32"/>
        <v>0</v>
      </c>
      <c r="F90" s="1176">
        <f t="shared" si="29"/>
        <v>0</v>
      </c>
      <c r="G90" s="259">
        <f t="shared" si="27"/>
        <v>0</v>
      </c>
      <c r="L90" s="1800"/>
      <c r="N90" s="1800"/>
      <c r="P90" s="1800"/>
      <c r="R90" s="1800"/>
      <c r="T90" s="1800"/>
    </row>
    <row r="91" spans="1:30" s="1157" customFormat="1" hidden="1">
      <c r="A91" s="1177">
        <f t="shared" si="28"/>
        <v>256000</v>
      </c>
      <c r="B91" s="1178">
        <f t="shared" si="30"/>
        <v>511999</v>
      </c>
      <c r="C91" s="1165">
        <f t="shared" si="31"/>
        <v>0</v>
      </c>
      <c r="D91" s="1176">
        <f>IF(C91&gt;0,15390,0)</f>
        <v>0</v>
      </c>
      <c r="E91" s="1176">
        <f t="shared" si="32"/>
        <v>0</v>
      </c>
      <c r="F91" s="1176">
        <f t="shared" si="29"/>
        <v>0</v>
      </c>
      <c r="G91" s="259">
        <f t="shared" si="27"/>
        <v>0</v>
      </c>
      <c r="L91" s="1800"/>
      <c r="N91" s="1800"/>
      <c r="P91" s="1800"/>
      <c r="R91" s="1800"/>
      <c r="T91" s="1800"/>
    </row>
    <row r="92" spans="1:30" s="1157" customFormat="1" hidden="1">
      <c r="A92" s="1177">
        <f t="shared" si="28"/>
        <v>512000</v>
      </c>
      <c r="B92" s="1178">
        <v>1023999</v>
      </c>
      <c r="C92" s="1165">
        <f t="shared" si="31"/>
        <v>0</v>
      </c>
      <c r="D92" s="1176">
        <f>IF(C92&gt;0,23085,0)</f>
        <v>0</v>
      </c>
      <c r="E92" s="1176">
        <f t="shared" si="32"/>
        <v>0</v>
      </c>
      <c r="F92" s="1176">
        <f>IF(D92=0,0,((C92-A92)*E92)+D92)</f>
        <v>0</v>
      </c>
      <c r="G92" s="259">
        <f t="shared" si="27"/>
        <v>0</v>
      </c>
      <c r="L92" s="1800"/>
      <c r="N92" s="1800"/>
      <c r="P92" s="1800"/>
      <c r="R92" s="1800"/>
      <c r="T92" s="1800"/>
    </row>
    <row r="93" spans="1:30" s="1157" customFormat="1">
      <c r="A93" s="1184"/>
      <c r="B93" s="1185"/>
      <c r="C93" s="1168"/>
      <c r="D93" s="1168"/>
      <c r="E93" s="1168"/>
      <c r="F93" s="1168"/>
      <c r="G93" s="1186"/>
      <c r="L93" s="1800"/>
      <c r="N93" s="1800"/>
      <c r="P93" s="1800"/>
      <c r="R93" s="1800"/>
      <c r="T93" s="1800"/>
    </row>
    <row r="94" spans="1:30">
      <c r="A94" s="2711" t="s">
        <v>5</v>
      </c>
      <c r="B94" s="2711"/>
      <c r="C94" s="2711"/>
      <c r="D94" s="2711"/>
      <c r="E94" s="2711"/>
      <c r="F94" s="2711"/>
      <c r="G94" s="2711"/>
    </row>
    <row r="95" spans="1:30" ht="33" customHeight="1">
      <c r="A95" s="2290" t="s">
        <v>401</v>
      </c>
      <c r="B95" s="2660"/>
      <c r="C95" s="2660"/>
      <c r="D95" s="2660"/>
      <c r="E95" s="2660"/>
      <c r="F95" s="2660"/>
      <c r="G95" s="577">
        <f>ROUND(SUM(G100:G114),0)</f>
        <v>0</v>
      </c>
      <c r="H95" s="328"/>
    </row>
    <row r="96" spans="1:30" ht="19" customHeight="1">
      <c r="A96" s="2648" t="s">
        <v>442</v>
      </c>
      <c r="B96" s="2649"/>
      <c r="C96" s="2654">
        <v>0</v>
      </c>
      <c r="D96" s="2662">
        <f>IF(C96=0,0,IF(C96&lt;1000,"Valeurs non officielles recalculées sur la base du barème",0))</f>
        <v>0</v>
      </c>
      <c r="E96" s="2663"/>
      <c r="F96" s="2664"/>
      <c r="G96" s="2657" t="s">
        <v>73</v>
      </c>
    </row>
    <row r="97" spans="1:7" ht="19" customHeight="1">
      <c r="A97" s="2650"/>
      <c r="B97" s="2651"/>
      <c r="C97" s="2655"/>
      <c r="D97" s="2665" t="s">
        <v>52</v>
      </c>
      <c r="E97" s="2643"/>
      <c r="F97" s="2644"/>
      <c r="G97" s="2658"/>
    </row>
    <row r="98" spans="1:7" ht="29" customHeight="1">
      <c r="A98" s="2652"/>
      <c r="B98" s="2653"/>
      <c r="C98" s="2656"/>
      <c r="D98" s="2725" t="s">
        <v>139</v>
      </c>
      <c r="E98" s="2723"/>
      <c r="F98" s="2724"/>
      <c r="G98" s="1167">
        <v>2</v>
      </c>
    </row>
    <row r="99" spans="1:7" hidden="1">
      <c r="A99" s="1158"/>
      <c r="B99" s="1168"/>
      <c r="C99" s="1180"/>
      <c r="D99" s="578"/>
      <c r="E99" s="578"/>
      <c r="F99" s="578"/>
      <c r="G99" s="1181"/>
    </row>
    <row r="100" spans="1:7" hidden="1">
      <c r="A100" s="1822">
        <v>0</v>
      </c>
      <c r="B100" s="1822">
        <v>65</v>
      </c>
      <c r="C100" s="1824">
        <f t="shared" ref="C100:C102" si="33">IF($C$96&lt;A100,0,IF($C$96&gt;B100,0,$C$96))</f>
        <v>0</v>
      </c>
      <c r="D100" s="1822">
        <f>IF(C100&gt;0,8,0)</f>
        <v>0</v>
      </c>
      <c r="E100" s="1822"/>
      <c r="F100" s="1822">
        <f t="shared" ref="F100:F104" si="34">IF(D100=0,0,((C100-A100)*E100)+D100)</f>
        <v>0</v>
      </c>
      <c r="G100" s="362">
        <f t="shared" ref="G100:G104" si="35">F100*$G$98</f>
        <v>0</v>
      </c>
    </row>
    <row r="101" spans="1:7" hidden="1">
      <c r="A101" s="1822">
        <v>66</v>
      </c>
      <c r="B101" s="1822">
        <v>125</v>
      </c>
      <c r="C101" s="1824">
        <f>IF($C$96&lt;A101,0,IF($C$96&gt;B101,0,$C$96))</f>
        <v>0</v>
      </c>
      <c r="D101" s="1822">
        <f>IF(C101&gt;0,11,0)</f>
        <v>0</v>
      </c>
      <c r="E101" s="1822">
        <f>IF(D101=0,0,0.0833)</f>
        <v>0</v>
      </c>
      <c r="F101" s="1822">
        <f t="shared" si="34"/>
        <v>0</v>
      </c>
      <c r="G101" s="362">
        <f t="shared" si="35"/>
        <v>0</v>
      </c>
    </row>
    <row r="102" spans="1:7" hidden="1">
      <c r="A102" s="1822">
        <v>126</v>
      </c>
      <c r="B102" s="1822">
        <v>249</v>
      </c>
      <c r="C102" s="1824">
        <f t="shared" si="33"/>
        <v>0</v>
      </c>
      <c r="D102" s="1822">
        <f>IF(C102&gt;0,16,0)</f>
        <v>0</v>
      </c>
      <c r="E102" s="1822">
        <f>IF(D102=0,0,0.048)</f>
        <v>0</v>
      </c>
      <c r="F102" s="1822">
        <f t="shared" si="34"/>
        <v>0</v>
      </c>
      <c r="G102" s="362">
        <f t="shared" si="35"/>
        <v>0</v>
      </c>
    </row>
    <row r="103" spans="1:7" hidden="1">
      <c r="A103" s="1822">
        <v>250</v>
      </c>
      <c r="B103" s="1822">
        <v>499</v>
      </c>
      <c r="C103" s="1824">
        <f>IF($C$96&lt;A103,0,IF($C$96&gt;B103,0,$C$96))</f>
        <v>0</v>
      </c>
      <c r="D103" s="1822">
        <f>IF(C103&gt;0,23,0)</f>
        <v>0</v>
      </c>
      <c r="E103" s="1822">
        <f>IF(D103=0,0,0.028)</f>
        <v>0</v>
      </c>
      <c r="F103" s="1822">
        <f t="shared" si="34"/>
        <v>0</v>
      </c>
      <c r="G103" s="362">
        <f t="shared" si="35"/>
        <v>0</v>
      </c>
    </row>
    <row r="104" spans="1:7" hidden="1">
      <c r="A104" s="1823">
        <v>500</v>
      </c>
      <c r="B104" s="1825">
        <v>999</v>
      </c>
      <c r="C104" s="1824">
        <f>IF($C$96&lt;A104,0,IF($C$96&gt;B104,0,$C$96))</f>
        <v>0</v>
      </c>
      <c r="D104" s="1822">
        <f>IF(C104&gt;0,34,0)</f>
        <v>0</v>
      </c>
      <c r="E104" s="1822">
        <f>IF(D104=0,0,0.022)</f>
        <v>0</v>
      </c>
      <c r="F104" s="1822">
        <f t="shared" si="34"/>
        <v>0</v>
      </c>
      <c r="G104" s="362">
        <f t="shared" si="35"/>
        <v>0</v>
      </c>
    </row>
    <row r="105" spans="1:7" hidden="1">
      <c r="A105" s="354">
        <v>1000</v>
      </c>
      <c r="B105" s="355">
        <v>1999</v>
      </c>
      <c r="C105" s="356">
        <f>IF($C$96&lt;A105,0,IF($C$96&gt;B105,0,$C$96))</f>
        <v>0</v>
      </c>
      <c r="D105" s="356">
        <f>IF(C105&gt;0,34,0)</f>
        <v>0</v>
      </c>
      <c r="E105" s="356">
        <f>IF(D105=0,0,0.016)</f>
        <v>0</v>
      </c>
      <c r="F105" s="356">
        <f>IF(D105=0,0,((C105-A105)*E105)+D105)</f>
        <v>0</v>
      </c>
      <c r="G105" s="362">
        <f t="shared" ref="G105:G114" si="36">F105*$G$98</f>
        <v>0</v>
      </c>
    </row>
    <row r="106" spans="1:7" hidden="1">
      <c r="A106" s="354">
        <v>2000</v>
      </c>
      <c r="B106" s="355">
        <v>3999</v>
      </c>
      <c r="C106" s="356">
        <f t="shared" ref="C106:C114" si="37">IF($C$96&lt;A106,0,IF($C$96&gt;B106,0,$C$96))</f>
        <v>0</v>
      </c>
      <c r="D106" s="356">
        <f>IF(C106&gt;0,50,0)</f>
        <v>0</v>
      </c>
      <c r="E106" s="356">
        <f>IF(D106=0,0,0.013)</f>
        <v>0</v>
      </c>
      <c r="F106" s="356">
        <f t="shared" ref="F106:F113" si="38">IF(D106=0,0,((C106-A106)*E106)+D106)</f>
        <v>0</v>
      </c>
      <c r="G106" s="362">
        <f t="shared" si="36"/>
        <v>0</v>
      </c>
    </row>
    <row r="107" spans="1:7" hidden="1">
      <c r="A107" s="354">
        <v>4000</v>
      </c>
      <c r="B107" s="355">
        <v>7999</v>
      </c>
      <c r="C107" s="356">
        <f t="shared" si="37"/>
        <v>0</v>
      </c>
      <c r="D107" s="356">
        <f>IF(C107&gt;0,76,0)</f>
        <v>0</v>
      </c>
      <c r="E107" s="356">
        <f>IF(D107=0,0,0.0095)</f>
        <v>0</v>
      </c>
      <c r="F107" s="356">
        <f t="shared" si="38"/>
        <v>0</v>
      </c>
      <c r="G107" s="362">
        <f t="shared" si="36"/>
        <v>0</v>
      </c>
    </row>
    <row r="108" spans="1:7" hidden="1">
      <c r="A108" s="354">
        <v>8000</v>
      </c>
      <c r="B108" s="355">
        <v>15999</v>
      </c>
      <c r="C108" s="356">
        <f t="shared" si="37"/>
        <v>0</v>
      </c>
      <c r="D108" s="356">
        <f>IF(C108&gt;0,114,0)</f>
        <v>0</v>
      </c>
      <c r="E108" s="356">
        <f>IF(D108=0,0,0.007)</f>
        <v>0</v>
      </c>
      <c r="F108" s="356">
        <f t="shared" si="38"/>
        <v>0</v>
      </c>
      <c r="G108" s="362">
        <f t="shared" si="36"/>
        <v>0</v>
      </c>
    </row>
    <row r="109" spans="1:7" hidden="1">
      <c r="A109" s="354">
        <v>16000</v>
      </c>
      <c r="B109" s="355">
        <v>31999</v>
      </c>
      <c r="C109" s="356">
        <f t="shared" si="37"/>
        <v>0</v>
      </c>
      <c r="D109" s="356">
        <f>IF(C109&gt;0,170,0)</f>
        <v>0</v>
      </c>
      <c r="E109" s="356">
        <f>IF(D109=0,0,0.005375)</f>
        <v>0</v>
      </c>
      <c r="F109" s="356">
        <f t="shared" si="38"/>
        <v>0</v>
      </c>
      <c r="G109" s="362">
        <f t="shared" si="36"/>
        <v>0</v>
      </c>
    </row>
    <row r="110" spans="1:7" hidden="1">
      <c r="A110" s="354">
        <v>32000</v>
      </c>
      <c r="B110" s="355">
        <v>63999</v>
      </c>
      <c r="C110" s="356">
        <f t="shared" si="37"/>
        <v>0</v>
      </c>
      <c r="D110" s="356">
        <f>IF(C110&gt;0,256,0)</f>
        <v>0</v>
      </c>
      <c r="E110" s="356">
        <f>IF(D110=0,0,0.004)</f>
        <v>0</v>
      </c>
      <c r="F110" s="356">
        <f t="shared" si="38"/>
        <v>0</v>
      </c>
      <c r="G110" s="362">
        <f t="shared" si="36"/>
        <v>0</v>
      </c>
    </row>
    <row r="111" spans="1:7" hidden="1">
      <c r="A111" s="354">
        <v>64000</v>
      </c>
      <c r="B111" s="355">
        <v>127999</v>
      </c>
      <c r="C111" s="356">
        <f t="shared" si="37"/>
        <v>0</v>
      </c>
      <c r="D111" s="356">
        <f>IF(C111&gt;0,384,0)</f>
        <v>0</v>
      </c>
      <c r="E111" s="356">
        <f>IF(D111=0,0,0.003)</f>
        <v>0</v>
      </c>
      <c r="F111" s="356">
        <f t="shared" si="38"/>
        <v>0</v>
      </c>
      <c r="G111" s="362">
        <f t="shared" si="36"/>
        <v>0</v>
      </c>
    </row>
    <row r="112" spans="1:7" hidden="1">
      <c r="A112" s="354">
        <v>128000</v>
      </c>
      <c r="B112" s="355">
        <v>255999</v>
      </c>
      <c r="C112" s="356">
        <f t="shared" si="37"/>
        <v>0</v>
      </c>
      <c r="D112" s="356">
        <f>IF(C112&gt;0,576,0)</f>
        <v>0</v>
      </c>
      <c r="E112" s="356">
        <f>IF(D112=0,0,0.0022578)</f>
        <v>0</v>
      </c>
      <c r="F112" s="356">
        <f t="shared" si="38"/>
        <v>0</v>
      </c>
      <c r="G112" s="362">
        <f t="shared" si="36"/>
        <v>0</v>
      </c>
    </row>
    <row r="113" spans="1:29" hidden="1">
      <c r="A113" s="358">
        <v>256000</v>
      </c>
      <c r="B113" s="359">
        <v>511999</v>
      </c>
      <c r="C113" s="360">
        <f t="shared" si="37"/>
        <v>0</v>
      </c>
      <c r="D113" s="360">
        <f>IF(C113&gt;0,865,0)</f>
        <v>0</v>
      </c>
      <c r="E113" s="360">
        <f>IF(D113=0,0,0.0016875)</f>
        <v>0</v>
      </c>
      <c r="F113" s="360">
        <f t="shared" si="38"/>
        <v>0</v>
      </c>
      <c r="G113" s="362">
        <f t="shared" si="36"/>
        <v>0</v>
      </c>
    </row>
    <row r="114" spans="1:29" hidden="1">
      <c r="A114" s="1177">
        <v>512000</v>
      </c>
      <c r="B114" s="1179">
        <v>1024000</v>
      </c>
      <c r="C114" s="360">
        <f t="shared" si="37"/>
        <v>0</v>
      </c>
      <c r="D114" s="1176">
        <f>IF(C114&gt;0,1298,0)</f>
        <v>0</v>
      </c>
      <c r="E114" s="1176">
        <f>IF(D114=0,0,0.0013)</f>
        <v>0</v>
      </c>
      <c r="F114" s="1176">
        <f>IF(D114=0,0,((C114-A114)*E114)+D114)</f>
        <v>0</v>
      </c>
      <c r="G114" s="362">
        <f t="shared" si="36"/>
        <v>0</v>
      </c>
    </row>
    <row r="115" spans="1:29">
      <c r="A115"/>
      <c r="C115"/>
      <c r="D115"/>
      <c r="F115"/>
    </row>
    <row r="116" spans="1:29" ht="20" customHeight="1">
      <c r="C116"/>
      <c r="D116"/>
      <c r="F116"/>
      <c r="X116" s="5"/>
      <c r="Y116" s="5"/>
      <c r="Z116" s="5"/>
      <c r="AA116" s="5"/>
      <c r="AB116" s="5"/>
      <c r="AC116" s="5"/>
    </row>
    <row r="117" spans="1:29" ht="37" customHeight="1">
      <c r="A117" s="2290" t="s">
        <v>400</v>
      </c>
      <c r="B117" s="2660"/>
      <c r="C117" s="2660"/>
      <c r="D117" s="2660"/>
      <c r="E117" s="2660"/>
      <c r="F117" s="2660"/>
      <c r="G117" s="577">
        <f>ROUND(SUM(G122:G137),0)</f>
        <v>0</v>
      </c>
      <c r="X117" s="5"/>
      <c r="Y117" s="5"/>
    </row>
    <row r="118" spans="1:29">
      <c r="A118" s="2648" t="s">
        <v>502</v>
      </c>
      <c r="B118" s="2649"/>
      <c r="C118" s="2654">
        <v>0</v>
      </c>
      <c r="D118" s="2662">
        <f>IF(C118=0,0,IF(C118&lt;50,"Valeurs non officielles recalculées sur la base du barème",0))</f>
        <v>0</v>
      </c>
      <c r="E118" s="2663"/>
      <c r="F118" s="2664"/>
      <c r="G118" s="2657" t="s">
        <v>348</v>
      </c>
      <c r="Y118" s="5"/>
    </row>
    <row r="119" spans="1:29" ht="17" customHeight="1">
      <c r="A119" s="2650"/>
      <c r="B119" s="2651"/>
      <c r="C119" s="2655"/>
      <c r="D119" s="2665" t="s">
        <v>97</v>
      </c>
      <c r="E119" s="2643"/>
      <c r="F119" s="2644"/>
      <c r="G119" s="2658"/>
      <c r="Y119" s="5"/>
    </row>
    <row r="120" spans="1:29" ht="29" customHeight="1">
      <c r="A120" s="2652"/>
      <c r="B120" s="2653"/>
      <c r="C120" s="2656"/>
      <c r="D120" s="2725" t="s">
        <v>42</v>
      </c>
      <c r="E120" s="2723"/>
      <c r="F120" s="2724"/>
      <c r="G120" s="1167">
        <v>3</v>
      </c>
      <c r="Y120" s="5"/>
    </row>
    <row r="121" spans="1:29" hidden="1">
      <c r="G121" s="1181"/>
      <c r="Y121" s="5"/>
    </row>
    <row r="122" spans="1:29" hidden="1">
      <c r="A122" s="1822">
        <v>0</v>
      </c>
      <c r="B122" s="1822">
        <v>1</v>
      </c>
      <c r="C122" s="1822">
        <f>IF($C$118&lt;A122,0,IF($C$118&gt;B122,0,$C$118))</f>
        <v>0</v>
      </c>
      <c r="D122" s="1822">
        <f>IF(C122&gt;0,11,0)</f>
        <v>0</v>
      </c>
      <c r="E122" s="1822"/>
      <c r="F122" s="1822">
        <f t="shared" ref="F122:F127" si="39">IF(D122=0,0,((C122-A122)*E122)+D122)</f>
        <v>0</v>
      </c>
      <c r="G122" s="362">
        <f>F122*$G$120</f>
        <v>0</v>
      </c>
      <c r="Y122" s="5"/>
    </row>
    <row r="123" spans="1:29" hidden="1">
      <c r="A123" s="1823">
        <f>A124/2</f>
        <v>2</v>
      </c>
      <c r="B123" s="1822">
        <v>3</v>
      </c>
      <c r="C123" s="1822">
        <f t="shared" ref="C123:C137" si="40">IF($C$118&lt;A123,0,IF($C$118&gt;B123,0,$C$118))</f>
        <v>0</v>
      </c>
      <c r="D123" s="1822">
        <f>IF(C123&gt;0,16,0)</f>
        <v>0</v>
      </c>
      <c r="E123" s="1822">
        <f>IF(D123=0,0,2.5)</f>
        <v>0</v>
      </c>
      <c r="F123" s="1822">
        <f t="shared" si="39"/>
        <v>0</v>
      </c>
      <c r="G123" s="362">
        <f t="shared" ref="G123:G137" si="41">F123*$G$120</f>
        <v>0</v>
      </c>
      <c r="Y123" s="5"/>
    </row>
    <row r="124" spans="1:29" hidden="1">
      <c r="A124" s="1823">
        <v>4</v>
      </c>
      <c r="B124" s="1822">
        <v>6</v>
      </c>
      <c r="C124" s="1822">
        <f t="shared" si="40"/>
        <v>0</v>
      </c>
      <c r="D124" s="1822">
        <f>IF(C124&gt;0,24,0)</f>
        <v>0</v>
      </c>
      <c r="E124" s="1822">
        <f>IF(D124=0,0,4)</f>
        <v>0</v>
      </c>
      <c r="F124" s="1822">
        <f t="shared" si="39"/>
        <v>0</v>
      </c>
      <c r="G124" s="362">
        <f t="shared" si="41"/>
        <v>0</v>
      </c>
      <c r="Y124" s="5"/>
    </row>
    <row r="125" spans="1:29" hidden="1">
      <c r="A125" s="1823">
        <v>7</v>
      </c>
      <c r="B125" s="1822">
        <v>12</v>
      </c>
      <c r="C125" s="1822">
        <f t="shared" si="40"/>
        <v>0</v>
      </c>
      <c r="D125" s="1822">
        <f>IF(C125&gt;0,36,0)</f>
        <v>0</v>
      </c>
      <c r="E125" s="1822">
        <f>IF(D125=0,0,1.7143)</f>
        <v>0</v>
      </c>
      <c r="F125" s="1822">
        <f t="shared" si="39"/>
        <v>0</v>
      </c>
      <c r="G125" s="362">
        <f t="shared" si="41"/>
        <v>0</v>
      </c>
    </row>
    <row r="126" spans="1:29" hidden="1">
      <c r="A126" s="1823">
        <f>A127/2</f>
        <v>12.5</v>
      </c>
      <c r="B126" s="1822">
        <v>24</v>
      </c>
      <c r="C126" s="1822">
        <f t="shared" si="40"/>
        <v>0</v>
      </c>
      <c r="D126" s="1822">
        <f>IF(C126&gt;0,53,0)</f>
        <v>0</v>
      </c>
      <c r="E126" s="1822">
        <f>IF(D126=0,0,1.4167)</f>
        <v>0</v>
      </c>
      <c r="F126" s="1822">
        <f t="shared" si="39"/>
        <v>0</v>
      </c>
      <c r="G126" s="362">
        <f t="shared" si="41"/>
        <v>0</v>
      </c>
      <c r="X126" s="328"/>
    </row>
    <row r="127" spans="1:29" hidden="1">
      <c r="A127" s="573">
        <f>A128/2</f>
        <v>25</v>
      </c>
      <c r="B127" s="574">
        <v>49</v>
      </c>
      <c r="C127" s="1165">
        <f t="shared" si="40"/>
        <v>0</v>
      </c>
      <c r="D127" s="1160">
        <f>IF(C127&gt;0,80,0)</f>
        <v>0</v>
      </c>
      <c r="E127" s="1160">
        <f>IF(D127=0,0,1.08)</f>
        <v>0</v>
      </c>
      <c r="F127" s="1160">
        <f t="shared" si="39"/>
        <v>0</v>
      </c>
      <c r="G127" s="362">
        <f t="shared" si="41"/>
        <v>0</v>
      </c>
    </row>
    <row r="128" spans="1:29" hidden="1">
      <c r="A128" s="573">
        <v>50</v>
      </c>
      <c r="B128" s="574">
        <v>99</v>
      </c>
      <c r="C128" s="1165">
        <f t="shared" si="40"/>
        <v>0</v>
      </c>
      <c r="D128" s="1160">
        <f>IF(C128&gt;0,80,0)</f>
        <v>0</v>
      </c>
      <c r="E128" s="1160">
        <f>IF(D128=0,0,0.8)</f>
        <v>0</v>
      </c>
      <c r="F128" s="1160">
        <f>IF(D128=0,0,((C128-A128)*E128)+D128)</f>
        <v>0</v>
      </c>
      <c r="G128" s="362">
        <f t="shared" si="41"/>
        <v>0</v>
      </c>
    </row>
    <row r="129" spans="1:7" hidden="1">
      <c r="A129" s="573">
        <v>100</v>
      </c>
      <c r="B129" s="574">
        <v>199</v>
      </c>
      <c r="C129" s="1165">
        <f t="shared" si="40"/>
        <v>0</v>
      </c>
      <c r="D129" s="1160">
        <f>IF(C129&gt;0,120,0)</f>
        <v>0</v>
      </c>
      <c r="E129" s="1160">
        <f>IF(D129=0,0,0.6)</f>
        <v>0</v>
      </c>
      <c r="F129" s="1160">
        <f>IF(D129=0,0,((C129-A129)*E129)+D129)</f>
        <v>0</v>
      </c>
      <c r="G129" s="362">
        <f t="shared" si="41"/>
        <v>0</v>
      </c>
    </row>
    <row r="130" spans="1:7" hidden="1">
      <c r="A130" s="573">
        <v>200</v>
      </c>
      <c r="B130" s="574">
        <v>399</v>
      </c>
      <c r="C130" s="1165">
        <f t="shared" si="40"/>
        <v>0</v>
      </c>
      <c r="D130" s="1160">
        <f>IF(C130&gt;0,180,0)</f>
        <v>0</v>
      </c>
      <c r="E130" s="1160">
        <f>IF(D130=0,0,0.45)</f>
        <v>0</v>
      </c>
      <c r="F130" s="1821">
        <f>IF(D130=0,0,((C130-A130)*E130)+D130)</f>
        <v>0</v>
      </c>
      <c r="G130" s="362">
        <f t="shared" si="41"/>
        <v>0</v>
      </c>
    </row>
    <row r="131" spans="1:7" hidden="1">
      <c r="A131" s="573">
        <v>400</v>
      </c>
      <c r="B131" s="574">
        <v>799</v>
      </c>
      <c r="C131" s="1165">
        <f t="shared" si="40"/>
        <v>0</v>
      </c>
      <c r="D131" s="1160">
        <f>IF(C131&gt;0,270,0)</f>
        <v>0</v>
      </c>
      <c r="E131" s="1160">
        <f>IF(D131=0,0,0.34)</f>
        <v>0</v>
      </c>
      <c r="F131" s="1160">
        <f>IF(D131=0,0,((C131-A131)*E131)+D131)</f>
        <v>0</v>
      </c>
      <c r="G131" s="362">
        <f t="shared" si="41"/>
        <v>0</v>
      </c>
    </row>
    <row r="132" spans="1:7" hidden="1">
      <c r="A132" s="573">
        <v>800</v>
      </c>
      <c r="B132" s="574">
        <v>1599</v>
      </c>
      <c r="C132" s="1165">
        <f t="shared" si="40"/>
        <v>0</v>
      </c>
      <c r="D132" s="1160">
        <f>IF(C132&gt;0,406,0)</f>
        <v>0</v>
      </c>
      <c r="E132" s="1160">
        <f>IF(D132=0,0,0.255)</f>
        <v>0</v>
      </c>
      <c r="F132" s="1160">
        <f t="shared" ref="F132:F136" si="42">IF(D132=0,0,((C132-A132)*E132)+D132)</f>
        <v>0</v>
      </c>
      <c r="G132" s="362">
        <f t="shared" si="41"/>
        <v>0</v>
      </c>
    </row>
    <row r="133" spans="1:7" hidden="1">
      <c r="A133" s="573">
        <v>1600</v>
      </c>
      <c r="B133" s="574">
        <v>3199</v>
      </c>
      <c r="C133" s="1165">
        <f t="shared" si="40"/>
        <v>0</v>
      </c>
      <c r="D133" s="1160">
        <f>IF(C133&gt;0,610,0)</f>
        <v>0</v>
      </c>
      <c r="E133" s="1160">
        <f>IF(D133=0,0,0.19125)</f>
        <v>0</v>
      </c>
      <c r="F133" s="1160">
        <f t="shared" si="42"/>
        <v>0</v>
      </c>
      <c r="G133" s="362">
        <f t="shared" si="41"/>
        <v>0</v>
      </c>
    </row>
    <row r="134" spans="1:7" hidden="1">
      <c r="A134" s="573">
        <v>3200</v>
      </c>
      <c r="B134" s="574">
        <v>6399</v>
      </c>
      <c r="C134" s="1165">
        <f t="shared" si="40"/>
        <v>0</v>
      </c>
      <c r="D134" s="1160">
        <f>IF(C134&gt;0,916,0)</f>
        <v>0</v>
      </c>
      <c r="E134" s="1160">
        <f>IF(D134=0,0,0.143125)</f>
        <v>0</v>
      </c>
      <c r="F134" s="1160">
        <f t="shared" si="42"/>
        <v>0</v>
      </c>
      <c r="G134" s="362">
        <f t="shared" si="41"/>
        <v>0</v>
      </c>
    </row>
    <row r="135" spans="1:7" hidden="1">
      <c r="A135" s="573">
        <v>6400</v>
      </c>
      <c r="B135" s="574">
        <v>12799</v>
      </c>
      <c r="C135" s="1165">
        <f t="shared" si="40"/>
        <v>0</v>
      </c>
      <c r="D135" s="1160">
        <f>IF(C135&gt;0,1374,0)</f>
        <v>0</v>
      </c>
      <c r="E135" s="1160">
        <f>IF(D135=0,0,0.1075)</f>
        <v>0</v>
      </c>
      <c r="F135" s="1160">
        <f t="shared" si="42"/>
        <v>0</v>
      </c>
      <c r="G135" s="362">
        <f t="shared" si="41"/>
        <v>0</v>
      </c>
    </row>
    <row r="136" spans="1:7" hidden="1">
      <c r="A136" s="573">
        <v>12800</v>
      </c>
      <c r="B136" s="574">
        <v>24599</v>
      </c>
      <c r="C136" s="1165">
        <f t="shared" si="40"/>
        <v>0</v>
      </c>
      <c r="D136" s="1160">
        <f>IF(C136&gt;0,2062,0)</f>
        <v>0</v>
      </c>
      <c r="E136" s="1160">
        <f>IF(D136=0,0,0.0880625)</f>
        <v>0</v>
      </c>
      <c r="F136" s="1160">
        <f t="shared" si="42"/>
        <v>0</v>
      </c>
      <c r="G136" s="362">
        <f t="shared" si="41"/>
        <v>0</v>
      </c>
    </row>
    <row r="137" spans="1:7" hidden="1">
      <c r="A137" s="573">
        <v>25600</v>
      </c>
      <c r="B137" s="574">
        <v>50000</v>
      </c>
      <c r="C137" s="1165">
        <f t="shared" si="40"/>
        <v>0</v>
      </c>
      <c r="D137" s="1160">
        <f>IF(C137&gt;0,3094,0)</f>
        <v>0</v>
      </c>
      <c r="E137" s="1160">
        <f>IF(D137=0,0,0.060468)</f>
        <v>0</v>
      </c>
      <c r="F137" s="1160">
        <f>IF(D137=0,0,((C137-A137)*E137)+D137)</f>
        <v>0</v>
      </c>
      <c r="G137" s="362">
        <f t="shared" si="41"/>
        <v>0</v>
      </c>
    </row>
    <row r="139" spans="1:7" ht="30" customHeight="1">
      <c r="A139"/>
      <c r="C139"/>
      <c r="D139"/>
      <c r="F139"/>
    </row>
  </sheetData>
  <mergeCells count="69">
    <mergeCell ref="D119:F119"/>
    <mergeCell ref="D5:F5"/>
    <mergeCell ref="D32:F32"/>
    <mergeCell ref="D52:F52"/>
    <mergeCell ref="D73:F73"/>
    <mergeCell ref="D98:F98"/>
    <mergeCell ref="A48:G48"/>
    <mergeCell ref="G118:G119"/>
    <mergeCell ref="A117:F117"/>
    <mergeCell ref="A118:B120"/>
    <mergeCell ref="C118:C120"/>
    <mergeCell ref="D118:F118"/>
    <mergeCell ref="D120:F120"/>
    <mergeCell ref="A94:G94"/>
    <mergeCell ref="G71:G72"/>
    <mergeCell ref="A32:B32"/>
    <mergeCell ref="A1:G1"/>
    <mergeCell ref="I2:U2"/>
    <mergeCell ref="A30:A31"/>
    <mergeCell ref="B30:B31"/>
    <mergeCell ref="C30:C31"/>
    <mergeCell ref="Q28:Q30"/>
    <mergeCell ref="G29:G30"/>
    <mergeCell ref="A2:F2"/>
    <mergeCell ref="A28:F28"/>
    <mergeCell ref="A3:B5"/>
    <mergeCell ref="G3:G4"/>
    <mergeCell ref="K27:S27"/>
    <mergeCell ref="S28:S30"/>
    <mergeCell ref="Z28:AC28"/>
    <mergeCell ref="D3:F3"/>
    <mergeCell ref="D30:F30"/>
    <mergeCell ref="AC49:AD50"/>
    <mergeCell ref="Z29:Z30"/>
    <mergeCell ref="AA29:AA30"/>
    <mergeCell ref="AB29:AB30"/>
    <mergeCell ref="AC29:AC30"/>
    <mergeCell ref="C29:F29"/>
    <mergeCell ref="U28:U30"/>
    <mergeCell ref="I49:X49"/>
    <mergeCell ref="I3:U3"/>
    <mergeCell ref="I4:U4"/>
    <mergeCell ref="I28:I30"/>
    <mergeCell ref="C3:C5"/>
    <mergeCell ref="V28:V30"/>
    <mergeCell ref="C71:F71"/>
    <mergeCell ref="J28:J30"/>
    <mergeCell ref="K28:K30"/>
    <mergeCell ref="M28:M30"/>
    <mergeCell ref="O28:O30"/>
    <mergeCell ref="G31:G32"/>
    <mergeCell ref="A49:F49"/>
    <mergeCell ref="D51:F51"/>
    <mergeCell ref="D72:F72"/>
    <mergeCell ref="D4:F4"/>
    <mergeCell ref="A96:B98"/>
    <mergeCell ref="C96:C98"/>
    <mergeCell ref="G96:G97"/>
    <mergeCell ref="C50:C52"/>
    <mergeCell ref="A70:F70"/>
    <mergeCell ref="A73:B73"/>
    <mergeCell ref="A95:F95"/>
    <mergeCell ref="A53:B53"/>
    <mergeCell ref="D96:F96"/>
    <mergeCell ref="D97:F97"/>
    <mergeCell ref="A74:B74"/>
    <mergeCell ref="G50:G51"/>
    <mergeCell ref="A50:B52"/>
    <mergeCell ref="D50:F50"/>
  </mergeCells>
  <phoneticPr fontId="50" type="noConversion"/>
  <conditionalFormatting sqref="V48 A30:B31 A72:B72 C50:C52 C3:C15 V31:V38 C96:C99 C118:C120">
    <cfRule type="cellIs" dxfId="48" priority="0" stopIfTrue="1" operator="greaterThan">
      <formula>0</formula>
    </cfRule>
  </conditionalFormatting>
  <conditionalFormatting sqref="D96:F96 C71:F71 D50:F50 C29:F29 D3:F3 D118:F118">
    <cfRule type="cellIs" dxfId="47" priority="1" stopIfTrue="1" operator="notEqual">
      <formula>0</formula>
    </cfRule>
  </conditionalFormatting>
  <pageMargins left="0.46979166666666666" right="0.75000000000000011" top="0.60133333333333339" bottom="1" header="0.24566666666666667" footer="0.5"/>
  <pageSetup paperSize="10" scale="33" orientation="landscape" horizontalDpi="4294967292" verticalDpi="4294967292"/>
  <headerFooter>
    <oddHeader xml:space="preserve">&amp;C&amp;"Arial,Gras"&amp;16BAREME DES ŒUVRES DE COMMANDE EN PUBLICITE (Journal Officiel de 1987)_x000D__x000D_Seules les cases jaunes ou oranges sont personnalisables </oddHeader>
    <oddFooter xml:space="preserve">&amp;CDocument de calcul à partir du barème officiel des oeuvres de commande en publicité - GPLA - 06 80 85 81 08 </oddFooter>
  </headerFooter>
  <ignoredErrors>
    <ignoredError sqref="I48 X39:Y48 Y31:Y32 X32" emptyCellReference="1"/>
  </ignoredErrors>
  <drawing r:id="rId1"/>
  <extLst>
    <ext xmlns:mx="http://schemas.microsoft.com/office/mac/excel/2008/main" uri="http://schemas.microsoft.com/office/mac/excel/2008/main">
      <mx:PLV Mode="1"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39"/>
  <sheetViews>
    <sheetView showGridLines="0" view="pageLayout" zoomScale="125" zoomScalePageLayoutView="125" workbookViewId="0">
      <selection activeCell="L11" sqref="L11"/>
    </sheetView>
  </sheetViews>
  <sheetFormatPr baseColWidth="10" defaultRowHeight="18"/>
  <cols>
    <col min="1" max="1" width="3.5" customWidth="1"/>
    <col min="2" max="2" width="1.75" customWidth="1"/>
    <col min="3" max="3" width="9" customWidth="1"/>
    <col min="5" max="5" width="8.75" customWidth="1"/>
    <col min="8" max="8" width="6.625" hidden="1" customWidth="1"/>
    <col min="9" max="9" width="6.875" hidden="1" customWidth="1"/>
    <col min="10" max="10" width="6.375" hidden="1" customWidth="1"/>
    <col min="11" max="11" width="8" hidden="1" customWidth="1"/>
    <col min="12" max="12" width="16.25" customWidth="1"/>
    <col min="13" max="13" width="9" hidden="1" customWidth="1"/>
    <col min="14" max="14" width="1.25" customWidth="1"/>
    <col min="16" max="16" width="15.75" customWidth="1"/>
  </cols>
  <sheetData>
    <row r="1" spans="1:14">
      <c r="A1" s="2735" t="s">
        <v>9</v>
      </c>
      <c r="B1" s="2624" t="s">
        <v>349</v>
      </c>
      <c r="C1" s="2625"/>
      <c r="D1" s="2625"/>
      <c r="E1" s="2625"/>
      <c r="F1" s="2625"/>
      <c r="G1" s="2625"/>
      <c r="H1" s="2625"/>
      <c r="I1" s="2625"/>
      <c r="J1" s="2625"/>
      <c r="K1" s="2625"/>
      <c r="L1" s="2626"/>
      <c r="M1" s="230"/>
      <c r="N1" s="230"/>
    </row>
    <row r="2" spans="1:14">
      <c r="A2" s="2736"/>
      <c r="B2" s="1602"/>
      <c r="C2" s="1602"/>
      <c r="D2" s="1602"/>
      <c r="E2" s="1602"/>
      <c r="F2" s="1603"/>
      <c r="G2" s="1609" t="s">
        <v>1116</v>
      </c>
      <c r="H2" s="1604"/>
      <c r="I2" s="1605"/>
      <c r="J2" s="1606"/>
      <c r="K2" s="1602"/>
      <c r="L2" s="1607"/>
      <c r="M2" s="230"/>
      <c r="N2" s="230"/>
    </row>
    <row r="3" spans="1:14">
      <c r="A3" s="2736"/>
      <c r="B3" s="1602"/>
      <c r="C3" s="2627" t="s">
        <v>561</v>
      </c>
      <c r="D3" s="2628"/>
      <c r="E3" s="2628"/>
      <c r="F3" s="1655" t="s">
        <v>79</v>
      </c>
      <c r="G3" s="818">
        <v>5</v>
      </c>
      <c r="K3" s="2375" t="s">
        <v>196</v>
      </c>
      <c r="L3" s="2629" t="str">
        <f>IF(F3="x","Pour une œuvre de commande (production payée par le client)","Pour une œuvre préexistante")</f>
        <v>Pour une œuvre de commande (production payée par le client)</v>
      </c>
      <c r="M3" s="230"/>
      <c r="N3" s="230"/>
    </row>
    <row r="4" spans="1:14">
      <c r="A4" s="2736"/>
      <c r="B4" s="1602"/>
      <c r="C4" s="2632" t="s">
        <v>189</v>
      </c>
      <c r="D4" s="2635" t="s">
        <v>190</v>
      </c>
      <c r="E4" s="2636"/>
      <c r="F4" s="2637"/>
      <c r="G4" s="1654"/>
      <c r="H4" s="1548"/>
      <c r="I4" s="1548"/>
      <c r="J4" s="1549"/>
      <c r="K4" s="2375"/>
      <c r="L4" s="2630"/>
      <c r="M4" s="230"/>
      <c r="N4" s="230"/>
    </row>
    <row r="5" spans="1:14">
      <c r="A5" s="2736"/>
      <c r="B5" s="1602"/>
      <c r="C5" s="2633"/>
      <c r="D5" s="2635" t="s">
        <v>117</v>
      </c>
      <c r="E5" s="2636"/>
      <c r="F5" s="2637"/>
      <c r="G5" s="1655" t="s">
        <v>1220</v>
      </c>
      <c r="H5" s="1548"/>
      <c r="I5" s="1548"/>
      <c r="J5" s="1549"/>
      <c r="K5" s="2375"/>
      <c r="L5" s="2630"/>
      <c r="M5" s="230"/>
      <c r="N5" s="230"/>
    </row>
    <row r="6" spans="1:14">
      <c r="A6" s="2736"/>
      <c r="B6" s="1602"/>
      <c r="C6" s="2634"/>
      <c r="D6" s="2635" t="s">
        <v>118</v>
      </c>
      <c r="E6" s="2636"/>
      <c r="F6" s="2637"/>
      <c r="G6" s="1655"/>
      <c r="H6" s="1548"/>
      <c r="I6" s="1548"/>
      <c r="J6" s="1549"/>
      <c r="K6" s="2375"/>
      <c r="L6" s="2630"/>
      <c r="M6" s="230"/>
      <c r="N6" s="230"/>
    </row>
    <row r="7" spans="1:14">
      <c r="A7" s="2737"/>
      <c r="B7" s="1602"/>
      <c r="C7" s="1608" t="s">
        <v>147</v>
      </c>
      <c r="D7" s="1550" t="s">
        <v>197</v>
      </c>
      <c r="E7" s="1550" t="s">
        <v>70</v>
      </c>
      <c r="F7" s="1550" t="s">
        <v>340</v>
      </c>
      <c r="G7" s="1550" t="s">
        <v>341</v>
      </c>
      <c r="K7" s="2375"/>
      <c r="L7" s="2631"/>
      <c r="M7" s="230" t="s">
        <v>138</v>
      </c>
      <c r="N7" s="230"/>
    </row>
    <row r="8" spans="1:14">
      <c r="A8" s="1655"/>
      <c r="B8" s="1576" t="s">
        <v>342</v>
      </c>
      <c r="C8" s="1562">
        <v>1000</v>
      </c>
      <c r="D8" s="1890">
        <v>591</v>
      </c>
      <c r="E8" s="1890">
        <v>548</v>
      </c>
      <c r="F8" s="1890">
        <v>551</v>
      </c>
      <c r="G8" s="1891">
        <v>737</v>
      </c>
      <c r="H8" s="1551">
        <f t="shared" ref="H8:H26" si="0">AVERAGE(D8:G8)</f>
        <v>606.75</v>
      </c>
      <c r="I8" s="1552">
        <f t="shared" ref="I8:I26" si="1">SMALL(D8:G8,1)</f>
        <v>548</v>
      </c>
      <c r="J8" s="1552">
        <f t="shared" ref="J8:J26" si="2">LARGE(D8:G8,1)</f>
        <v>737</v>
      </c>
      <c r="K8" s="1553">
        <f t="shared" ref="K8:K20" si="3">IF($G$5="x",H8,IF($G$6="x",I8,IF($G$4="x",J8,0)))</f>
        <v>606.75</v>
      </c>
      <c r="L8" s="1554" t="b">
        <f t="shared" ref="L8:L26" si="4">IF(A8="x",IF($F$3="x",K8/$G$3,K8))</f>
        <v>0</v>
      </c>
      <c r="M8" s="230" t="str">
        <f t="shared" ref="M8:M26" si="5">IF(A8="x",C8,"")</f>
        <v/>
      </c>
      <c r="N8" s="230"/>
    </row>
    <row r="9" spans="1:14">
      <c r="A9" s="1655"/>
      <c r="B9" s="342" t="s">
        <v>342</v>
      </c>
      <c r="C9" s="1563">
        <v>1500</v>
      </c>
      <c r="D9" s="1892">
        <v>591</v>
      </c>
      <c r="E9" s="1892">
        <v>548</v>
      </c>
      <c r="F9" s="1892">
        <v>794</v>
      </c>
      <c r="G9" s="1893">
        <v>737</v>
      </c>
      <c r="H9" s="1551">
        <f t="shared" si="0"/>
        <v>667.5</v>
      </c>
      <c r="I9" s="1552">
        <f t="shared" si="1"/>
        <v>548</v>
      </c>
      <c r="J9" s="1552">
        <f t="shared" si="2"/>
        <v>794</v>
      </c>
      <c r="K9" s="1553">
        <f t="shared" si="3"/>
        <v>667.5</v>
      </c>
      <c r="L9" s="1554" t="b">
        <f t="shared" si="4"/>
        <v>0</v>
      </c>
      <c r="M9" s="230" t="str">
        <f t="shared" si="5"/>
        <v/>
      </c>
      <c r="N9" s="230"/>
    </row>
    <row r="10" spans="1:14">
      <c r="A10" s="1655"/>
      <c r="B10" s="342" t="s">
        <v>342</v>
      </c>
      <c r="C10" s="1563">
        <v>2500</v>
      </c>
      <c r="D10" s="1892">
        <v>652</v>
      </c>
      <c r="E10" s="1892">
        <v>548</v>
      </c>
      <c r="F10" s="1892">
        <v>794</v>
      </c>
      <c r="G10" s="1893">
        <v>1030</v>
      </c>
      <c r="H10" s="1551">
        <f t="shared" si="0"/>
        <v>756</v>
      </c>
      <c r="I10" s="1552">
        <f t="shared" si="1"/>
        <v>548</v>
      </c>
      <c r="J10" s="1552">
        <f t="shared" si="2"/>
        <v>1030</v>
      </c>
      <c r="K10" s="1553">
        <f t="shared" si="3"/>
        <v>756</v>
      </c>
      <c r="L10" s="1554" t="b">
        <f t="shared" si="4"/>
        <v>0</v>
      </c>
      <c r="M10" s="230" t="str">
        <f t="shared" si="5"/>
        <v/>
      </c>
      <c r="N10" s="230"/>
    </row>
    <row r="11" spans="1:14">
      <c r="A11" s="1655"/>
      <c r="B11" s="342" t="s">
        <v>342</v>
      </c>
      <c r="C11" s="1563">
        <v>3000</v>
      </c>
      <c r="D11" s="1892">
        <v>713</v>
      </c>
      <c r="E11" s="1892">
        <v>548</v>
      </c>
      <c r="F11" s="1892">
        <v>794</v>
      </c>
      <c r="G11" s="1893">
        <v>1030</v>
      </c>
      <c r="H11" s="1551">
        <f t="shared" si="0"/>
        <v>771.25</v>
      </c>
      <c r="I11" s="1552">
        <f t="shared" si="1"/>
        <v>548</v>
      </c>
      <c r="J11" s="1552">
        <f t="shared" si="2"/>
        <v>1030</v>
      </c>
      <c r="K11" s="1553">
        <f t="shared" si="3"/>
        <v>771.25</v>
      </c>
      <c r="L11" s="1554" t="b">
        <f t="shared" si="4"/>
        <v>0</v>
      </c>
      <c r="M11" s="230" t="str">
        <f t="shared" si="5"/>
        <v/>
      </c>
      <c r="N11" s="230"/>
    </row>
    <row r="12" spans="1:14">
      <c r="A12" s="1655"/>
      <c r="B12" s="342" t="s">
        <v>342</v>
      </c>
      <c r="C12" s="1563">
        <v>5000</v>
      </c>
      <c r="D12" s="1892">
        <v>713</v>
      </c>
      <c r="E12" s="1892">
        <v>548</v>
      </c>
      <c r="F12" s="1892">
        <v>794</v>
      </c>
      <c r="G12" s="1893">
        <v>1397</v>
      </c>
      <c r="H12" s="1551">
        <f t="shared" si="0"/>
        <v>863</v>
      </c>
      <c r="I12" s="1552">
        <f t="shared" si="1"/>
        <v>548</v>
      </c>
      <c r="J12" s="1552">
        <f t="shared" si="2"/>
        <v>1397</v>
      </c>
      <c r="K12" s="1553">
        <f t="shared" si="3"/>
        <v>863</v>
      </c>
      <c r="L12" s="1554" t="b">
        <f t="shared" si="4"/>
        <v>0</v>
      </c>
      <c r="M12" s="230" t="str">
        <f t="shared" si="5"/>
        <v/>
      </c>
      <c r="N12" s="230"/>
    </row>
    <row r="13" spans="1:14">
      <c r="A13" s="1655"/>
      <c r="B13" s="342" t="s">
        <v>342</v>
      </c>
      <c r="C13" s="1563">
        <v>10000</v>
      </c>
      <c r="D13" s="1892">
        <v>864</v>
      </c>
      <c r="E13" s="1892">
        <v>548</v>
      </c>
      <c r="F13" s="1892">
        <v>1101</v>
      </c>
      <c r="G13" s="1893">
        <v>1844</v>
      </c>
      <c r="H13" s="1551">
        <f t="shared" si="0"/>
        <v>1089.25</v>
      </c>
      <c r="I13" s="1552">
        <f t="shared" si="1"/>
        <v>548</v>
      </c>
      <c r="J13" s="1552">
        <f t="shared" si="2"/>
        <v>1844</v>
      </c>
      <c r="K13" s="1553">
        <f t="shared" si="3"/>
        <v>1089.25</v>
      </c>
      <c r="L13" s="1554" t="b">
        <f t="shared" si="4"/>
        <v>0</v>
      </c>
      <c r="M13" s="230" t="str">
        <f t="shared" si="5"/>
        <v/>
      </c>
      <c r="N13" s="230"/>
    </row>
    <row r="14" spans="1:14">
      <c r="A14" s="1655"/>
      <c r="B14" s="342" t="s">
        <v>342</v>
      </c>
      <c r="C14" s="1563">
        <v>25000</v>
      </c>
      <c r="D14" s="1892">
        <v>956</v>
      </c>
      <c r="E14" s="1892">
        <v>665</v>
      </c>
      <c r="F14" s="1892">
        <v>1652</v>
      </c>
      <c r="G14" s="1893">
        <v>2504</v>
      </c>
      <c r="H14" s="1551">
        <f t="shared" si="0"/>
        <v>1444.25</v>
      </c>
      <c r="I14" s="1552">
        <f t="shared" si="1"/>
        <v>665</v>
      </c>
      <c r="J14" s="1552">
        <f t="shared" si="2"/>
        <v>2504</v>
      </c>
      <c r="K14" s="1553">
        <f t="shared" si="3"/>
        <v>1444.25</v>
      </c>
      <c r="L14" s="1554" t="b">
        <f t="shared" si="4"/>
        <v>0</v>
      </c>
      <c r="M14" s="230" t="str">
        <f t="shared" si="5"/>
        <v/>
      </c>
      <c r="N14" s="230"/>
    </row>
    <row r="15" spans="1:14">
      <c r="A15" s="1655"/>
      <c r="B15" s="342" t="s">
        <v>342</v>
      </c>
      <c r="C15" s="1563">
        <v>50000</v>
      </c>
      <c r="D15" s="1892">
        <v>1047</v>
      </c>
      <c r="E15" s="1892">
        <v>1098</v>
      </c>
      <c r="F15" s="1892">
        <v>2478</v>
      </c>
      <c r="G15" s="1893">
        <v>3399</v>
      </c>
      <c r="H15" s="1551">
        <f t="shared" si="0"/>
        <v>2005.5</v>
      </c>
      <c r="I15" s="1552">
        <f t="shared" si="1"/>
        <v>1047</v>
      </c>
      <c r="J15" s="1552">
        <f t="shared" si="2"/>
        <v>3399</v>
      </c>
      <c r="K15" s="1553">
        <f t="shared" si="3"/>
        <v>2005.5</v>
      </c>
      <c r="L15" s="1554" t="b">
        <f t="shared" si="4"/>
        <v>0</v>
      </c>
      <c r="M15" s="230" t="str">
        <f t="shared" si="5"/>
        <v/>
      </c>
      <c r="N15" s="230"/>
    </row>
    <row r="16" spans="1:14">
      <c r="A16" s="1655"/>
      <c r="B16" s="342" t="s">
        <v>342</v>
      </c>
      <c r="C16" s="1563">
        <v>100000</v>
      </c>
      <c r="D16" s="1892">
        <v>1153</v>
      </c>
      <c r="E16" s="1892">
        <v>1485</v>
      </c>
      <c r="F16" s="1892">
        <v>3304</v>
      </c>
      <c r="G16" s="1893">
        <v>4410</v>
      </c>
      <c r="H16" s="1551">
        <f t="shared" si="0"/>
        <v>2588</v>
      </c>
      <c r="I16" s="1552">
        <f t="shared" si="1"/>
        <v>1153</v>
      </c>
      <c r="J16" s="1552">
        <f t="shared" si="2"/>
        <v>4410</v>
      </c>
      <c r="K16" s="1553">
        <f t="shared" si="3"/>
        <v>2588</v>
      </c>
      <c r="L16" s="1554" t="b">
        <f t="shared" si="4"/>
        <v>0</v>
      </c>
      <c r="M16" s="230" t="str">
        <f t="shared" si="5"/>
        <v/>
      </c>
      <c r="N16" s="230"/>
    </row>
    <row r="17" spans="1:16">
      <c r="A17" s="1655"/>
      <c r="B17" s="342" t="s">
        <v>342</v>
      </c>
      <c r="C17" s="1563">
        <v>250000</v>
      </c>
      <c r="D17" s="1892">
        <v>1274</v>
      </c>
      <c r="E17" s="1892">
        <v>2007</v>
      </c>
      <c r="F17" s="1894">
        <v>4800</v>
      </c>
      <c r="G17" s="1895">
        <v>6600</v>
      </c>
      <c r="H17" s="1551">
        <f t="shared" si="0"/>
        <v>3670.25</v>
      </c>
      <c r="I17" s="1552">
        <f t="shared" si="1"/>
        <v>1274</v>
      </c>
      <c r="J17" s="1552">
        <f t="shared" si="2"/>
        <v>6600</v>
      </c>
      <c r="K17" s="1553">
        <f t="shared" si="3"/>
        <v>3670.25</v>
      </c>
      <c r="L17" s="1554" t="b">
        <f t="shared" si="4"/>
        <v>0</v>
      </c>
      <c r="M17" s="230" t="str">
        <f t="shared" si="5"/>
        <v/>
      </c>
      <c r="N17" s="230"/>
    </row>
    <row r="18" spans="1:16">
      <c r="A18" s="1655"/>
      <c r="B18" s="342" t="s">
        <v>342</v>
      </c>
      <c r="C18" s="1563">
        <v>500000</v>
      </c>
      <c r="D18" s="1892">
        <v>1396</v>
      </c>
      <c r="E18" s="1892">
        <v>2007</v>
      </c>
      <c r="F18" s="1894">
        <v>6300</v>
      </c>
      <c r="G18" s="1895">
        <v>8800</v>
      </c>
      <c r="H18" s="1551">
        <f t="shared" si="0"/>
        <v>4625.75</v>
      </c>
      <c r="I18" s="1552">
        <f t="shared" si="1"/>
        <v>1396</v>
      </c>
      <c r="J18" s="1552">
        <f t="shared" si="2"/>
        <v>8800</v>
      </c>
      <c r="K18" s="1553">
        <f t="shared" si="3"/>
        <v>4625.75</v>
      </c>
      <c r="L18" s="1554" t="b">
        <f t="shared" si="4"/>
        <v>0</v>
      </c>
      <c r="M18" s="230" t="str">
        <f t="shared" si="5"/>
        <v/>
      </c>
      <c r="N18" s="230"/>
    </row>
    <row r="19" spans="1:16">
      <c r="A19" s="1655"/>
      <c r="B19" s="342" t="s">
        <v>342</v>
      </c>
      <c r="C19" s="1563">
        <v>1000000</v>
      </c>
      <c r="D19" s="1892">
        <v>1547</v>
      </c>
      <c r="E19" s="1892">
        <v>2714</v>
      </c>
      <c r="F19" s="1894">
        <v>7800</v>
      </c>
      <c r="G19" s="1895">
        <v>11000</v>
      </c>
      <c r="H19" s="1551">
        <f t="shared" si="0"/>
        <v>5765.25</v>
      </c>
      <c r="I19" s="1552">
        <f t="shared" si="1"/>
        <v>1547</v>
      </c>
      <c r="J19" s="1552">
        <f t="shared" si="2"/>
        <v>11000</v>
      </c>
      <c r="K19" s="1553">
        <f t="shared" si="3"/>
        <v>5765.25</v>
      </c>
      <c r="L19" s="1554" t="b">
        <f t="shared" si="4"/>
        <v>0</v>
      </c>
      <c r="M19" s="230" t="str">
        <f t="shared" si="5"/>
        <v/>
      </c>
      <c r="N19" s="230"/>
    </row>
    <row r="20" spans="1:16">
      <c r="A20" s="1655"/>
      <c r="B20" s="342" t="s">
        <v>342</v>
      </c>
      <c r="C20" s="1563">
        <v>2000000</v>
      </c>
      <c r="D20" s="1892">
        <v>1881</v>
      </c>
      <c r="E20" s="1894">
        <v>3668</v>
      </c>
      <c r="F20" s="1894">
        <v>9300</v>
      </c>
      <c r="G20" s="1895">
        <v>13200</v>
      </c>
      <c r="H20" s="1551">
        <f t="shared" si="0"/>
        <v>7012.25</v>
      </c>
      <c r="I20" s="1552">
        <f t="shared" si="1"/>
        <v>1881</v>
      </c>
      <c r="J20" s="1552">
        <f t="shared" si="2"/>
        <v>13200</v>
      </c>
      <c r="K20" s="1553">
        <f t="shared" si="3"/>
        <v>7012.25</v>
      </c>
      <c r="L20" s="1554" t="b">
        <f t="shared" si="4"/>
        <v>0</v>
      </c>
      <c r="M20" s="230" t="str">
        <f t="shared" si="5"/>
        <v/>
      </c>
      <c r="N20" s="230"/>
    </row>
    <row r="21" spans="1:16">
      <c r="A21" s="1655"/>
      <c r="B21" s="342" t="s">
        <v>342</v>
      </c>
      <c r="C21" s="1563">
        <v>4000000</v>
      </c>
      <c r="D21" s="1892">
        <v>1881</v>
      </c>
      <c r="E21" s="1894">
        <v>4960</v>
      </c>
      <c r="F21" s="1894">
        <v>10800</v>
      </c>
      <c r="G21" s="1895">
        <v>15400</v>
      </c>
      <c r="H21" s="1551">
        <f t="shared" si="0"/>
        <v>8260.25</v>
      </c>
      <c r="I21" s="1552">
        <f t="shared" si="1"/>
        <v>1881</v>
      </c>
      <c r="J21" s="1552">
        <f t="shared" si="2"/>
        <v>15400</v>
      </c>
      <c r="K21" s="1553">
        <f>IF($G$5="x",H21,IF($G$6="x",I21,IF($G$4="x",J21,0)))</f>
        <v>8260.25</v>
      </c>
      <c r="L21" s="1554" t="b">
        <f t="shared" si="4"/>
        <v>0</v>
      </c>
      <c r="M21" s="230" t="str">
        <f t="shared" si="5"/>
        <v/>
      </c>
      <c r="N21" s="230"/>
    </row>
    <row r="22" spans="1:16">
      <c r="A22" s="1655"/>
      <c r="B22" s="342" t="s">
        <v>342</v>
      </c>
      <c r="C22" s="1563">
        <v>8000000</v>
      </c>
      <c r="D22" s="1892">
        <v>2064</v>
      </c>
      <c r="E22" s="1894">
        <v>6706</v>
      </c>
      <c r="F22" s="1894">
        <v>12300</v>
      </c>
      <c r="G22" s="1895">
        <v>17600</v>
      </c>
      <c r="H22" s="1551">
        <f t="shared" si="0"/>
        <v>9667.5</v>
      </c>
      <c r="I22" s="1552">
        <f t="shared" si="1"/>
        <v>2064</v>
      </c>
      <c r="J22" s="1552">
        <f t="shared" si="2"/>
        <v>17600</v>
      </c>
      <c r="K22" s="1553">
        <f t="shared" ref="K22:K26" si="6">IF($G$5="x",H22,IF($G$6="x",I22,IF($G$4="x",J22,0)))</f>
        <v>9667.5</v>
      </c>
      <c r="L22" s="1554" t="b">
        <f>IF(A22="x",IF($F$3="x",K22/$G$3,K22))</f>
        <v>0</v>
      </c>
      <c r="M22" s="230" t="str">
        <f t="shared" si="5"/>
        <v/>
      </c>
      <c r="N22" s="230"/>
    </row>
    <row r="23" spans="1:16">
      <c r="A23" s="1655"/>
      <c r="B23" s="342" t="s">
        <v>342</v>
      </c>
      <c r="C23" s="1563">
        <v>15000000</v>
      </c>
      <c r="D23" s="1892">
        <v>2064</v>
      </c>
      <c r="E23" s="1894">
        <v>9066</v>
      </c>
      <c r="F23" s="1894">
        <v>13800</v>
      </c>
      <c r="G23" s="1895">
        <v>19800</v>
      </c>
      <c r="H23" s="1551">
        <f t="shared" si="0"/>
        <v>11182.5</v>
      </c>
      <c r="I23" s="1552">
        <f t="shared" si="1"/>
        <v>2064</v>
      </c>
      <c r="J23" s="1552">
        <f t="shared" si="2"/>
        <v>19800</v>
      </c>
      <c r="K23" s="1553">
        <f t="shared" si="6"/>
        <v>11182.5</v>
      </c>
      <c r="L23" s="1554" t="b">
        <f t="shared" si="4"/>
        <v>0</v>
      </c>
      <c r="M23" s="230" t="str">
        <f t="shared" si="5"/>
        <v/>
      </c>
      <c r="N23" s="230"/>
    </row>
    <row r="24" spans="1:16">
      <c r="A24" s="1655"/>
      <c r="B24" s="342" t="s">
        <v>342</v>
      </c>
      <c r="C24" s="1563">
        <v>30000000</v>
      </c>
      <c r="D24" s="1892">
        <v>2064</v>
      </c>
      <c r="E24" s="1894">
        <v>12258</v>
      </c>
      <c r="F24" s="1894">
        <v>14300</v>
      </c>
      <c r="G24" s="1895">
        <v>21000</v>
      </c>
      <c r="H24" s="1551">
        <f t="shared" si="0"/>
        <v>12405.5</v>
      </c>
      <c r="I24" s="1552">
        <f t="shared" si="1"/>
        <v>2064</v>
      </c>
      <c r="J24" s="1552">
        <f t="shared" si="2"/>
        <v>21000</v>
      </c>
      <c r="K24" s="1553">
        <f t="shared" si="6"/>
        <v>12405.5</v>
      </c>
      <c r="L24" s="1554" t="b">
        <f t="shared" si="4"/>
        <v>0</v>
      </c>
      <c r="M24" s="230" t="str">
        <f t="shared" si="5"/>
        <v/>
      </c>
      <c r="N24" s="230"/>
    </row>
    <row r="25" spans="1:16">
      <c r="A25" s="1655"/>
      <c r="B25" s="342" t="s">
        <v>342</v>
      </c>
      <c r="C25" s="1563">
        <v>60000000</v>
      </c>
      <c r="D25" s="1892">
        <v>2064</v>
      </c>
      <c r="E25" s="1894">
        <f>16573</f>
        <v>16573</v>
      </c>
      <c r="F25" s="1894">
        <v>15800</v>
      </c>
      <c r="G25" s="1895">
        <v>23200</v>
      </c>
      <c r="H25" s="1551">
        <f t="shared" si="0"/>
        <v>14409.25</v>
      </c>
      <c r="I25" s="1552">
        <f t="shared" si="1"/>
        <v>2064</v>
      </c>
      <c r="J25" s="1552">
        <f t="shared" si="2"/>
        <v>23200</v>
      </c>
      <c r="K25" s="1553">
        <f t="shared" si="6"/>
        <v>14409.25</v>
      </c>
      <c r="L25" s="1554" t="b">
        <f t="shared" si="4"/>
        <v>0</v>
      </c>
      <c r="M25" s="230" t="str">
        <f t="shared" si="5"/>
        <v/>
      </c>
      <c r="N25" s="230"/>
    </row>
    <row r="26" spans="1:16">
      <c r="A26" s="1655"/>
      <c r="B26" s="1577" t="s">
        <v>342</v>
      </c>
      <c r="C26" s="1564">
        <v>120000000</v>
      </c>
      <c r="D26" s="1896">
        <v>2064</v>
      </c>
      <c r="E26" s="1897">
        <f>22407</f>
        <v>22407</v>
      </c>
      <c r="F26" s="1897">
        <v>17300</v>
      </c>
      <c r="G26" s="1898">
        <v>25400</v>
      </c>
      <c r="H26" s="1551">
        <f t="shared" si="0"/>
        <v>16792.75</v>
      </c>
      <c r="I26" s="1552">
        <f t="shared" si="1"/>
        <v>2064</v>
      </c>
      <c r="J26" s="1552">
        <f t="shared" si="2"/>
        <v>25400</v>
      </c>
      <c r="K26" s="1553">
        <f t="shared" si="6"/>
        <v>16792.75</v>
      </c>
      <c r="L26" s="1554" t="b">
        <f t="shared" si="4"/>
        <v>0</v>
      </c>
      <c r="M26" s="230" t="str">
        <f t="shared" si="5"/>
        <v/>
      </c>
      <c r="N26" s="230"/>
      <c r="O26" s="2734" t="s">
        <v>23</v>
      </c>
      <c r="P26" s="2734"/>
    </row>
    <row r="27" spans="1:16">
      <c r="A27" s="2741" t="str">
        <f>"Droit de type étiquettes, conditionnements, diffusion de masse "&amp;SUM(M8:M26)&amp;" exemplaires"</f>
        <v>Droit de type étiquettes, conditionnements, diffusion de masse 0 exemplaires</v>
      </c>
      <c r="B27" s="2728"/>
      <c r="C27" s="2728"/>
      <c r="D27" s="2728"/>
      <c r="E27" s="2728"/>
      <c r="F27" s="2728"/>
      <c r="G27" s="2728"/>
      <c r="H27" s="2733" t="s">
        <v>343</v>
      </c>
      <c r="I27" s="2733"/>
      <c r="J27" s="2733"/>
      <c r="K27" s="1555"/>
      <c r="L27" s="1575">
        <f>SUM(L8:L26)</f>
        <v>0</v>
      </c>
      <c r="M27" s="230"/>
      <c r="N27" s="230"/>
      <c r="O27" s="2734"/>
      <c r="P27" s="2734"/>
    </row>
    <row r="28" spans="1:16">
      <c r="A28" s="1610"/>
      <c r="B28" s="1611"/>
      <c r="C28" s="1556" t="s">
        <v>344</v>
      </c>
      <c r="D28" s="1557"/>
      <c r="E28" s="1557"/>
      <c r="F28" s="1557"/>
      <c r="G28" s="1558"/>
      <c r="H28" s="1559" t="s">
        <v>345</v>
      </c>
      <c r="I28" s="1560"/>
      <c r="J28" s="1560"/>
      <c r="K28" s="1560"/>
      <c r="L28" s="2738" t="s">
        <v>74</v>
      </c>
      <c r="M28" s="230"/>
      <c r="N28" s="230"/>
      <c r="O28" s="2734"/>
      <c r="P28" s="2734"/>
    </row>
    <row r="29" spans="1:16">
      <c r="A29" s="1656"/>
      <c r="B29" s="2742" t="s">
        <v>85</v>
      </c>
      <c r="C29" s="1578" t="s">
        <v>562</v>
      </c>
      <c r="D29" s="1565"/>
      <c r="E29" s="1565"/>
      <c r="F29" s="1790">
        <v>0.1</v>
      </c>
      <c r="G29" s="1568">
        <f>L27-L27*F29</f>
        <v>0</v>
      </c>
      <c r="H29" s="1561"/>
      <c r="I29" s="1561"/>
      <c r="J29" s="1561"/>
      <c r="K29" s="1561"/>
      <c r="L29" s="2739"/>
      <c r="M29" s="230"/>
      <c r="N29" s="230"/>
    </row>
    <row r="30" spans="1:16">
      <c r="A30" s="1656"/>
      <c r="B30" s="2743"/>
      <c r="C30" s="1579" t="s">
        <v>398</v>
      </c>
      <c r="D30" s="1566"/>
      <c r="E30" s="1566"/>
      <c r="F30" s="1791">
        <v>0.3</v>
      </c>
      <c r="G30" s="1569">
        <f>L27-L27*F30</f>
        <v>0</v>
      </c>
      <c r="H30" s="1561"/>
      <c r="I30" s="1561"/>
      <c r="J30" s="1561"/>
      <c r="K30" s="1561"/>
      <c r="L30" s="2739"/>
      <c r="M30" s="230"/>
      <c r="N30" s="230"/>
    </row>
    <row r="31" spans="1:16">
      <c r="A31" s="1656"/>
      <c r="B31" s="2743"/>
      <c r="C31" s="1579" t="s">
        <v>275</v>
      </c>
      <c r="D31" s="1566"/>
      <c r="E31" s="1566"/>
      <c r="F31" s="1791">
        <v>0.15</v>
      </c>
      <c r="G31" s="1569">
        <f>L27+L27*F31</f>
        <v>0</v>
      </c>
      <c r="H31" s="1561"/>
      <c r="I31" s="1561"/>
      <c r="J31" s="1561"/>
      <c r="K31" s="1561"/>
      <c r="L31" s="2739"/>
      <c r="M31" s="230"/>
      <c r="N31" s="230"/>
    </row>
    <row r="32" spans="1:16">
      <c r="A32" s="1656"/>
      <c r="B32" s="2743"/>
      <c r="C32" s="1579" t="s">
        <v>29</v>
      </c>
      <c r="D32" s="1566"/>
      <c r="E32" s="1566"/>
      <c r="F32" s="1791">
        <v>0.1</v>
      </c>
      <c r="G32" s="1569">
        <f>(2*L27)-(L27*2)*F32</f>
        <v>0</v>
      </c>
      <c r="H32" s="1561"/>
      <c r="I32" s="1561"/>
      <c r="J32" s="1561"/>
      <c r="K32" s="1561"/>
      <c r="L32" s="2739"/>
      <c r="M32" s="230"/>
      <c r="N32" s="230"/>
    </row>
    <row r="33" spans="1:14">
      <c r="A33" s="1656"/>
      <c r="B33" s="2743"/>
      <c r="C33" s="1579" t="s">
        <v>203</v>
      </c>
      <c r="D33" s="1566"/>
      <c r="E33" s="1566"/>
      <c r="F33" s="1791">
        <v>0.2</v>
      </c>
      <c r="G33" s="1569">
        <f>(L27*3)-(L27*3)*F33</f>
        <v>0</v>
      </c>
      <c r="H33" s="1561"/>
      <c r="I33" s="1561"/>
      <c r="J33" s="1561"/>
      <c r="K33" s="1561"/>
      <c r="L33" s="2739"/>
      <c r="M33" s="230"/>
      <c r="N33" s="230"/>
    </row>
    <row r="34" spans="1:14" ht="19" thickBot="1">
      <c r="A34" s="1656"/>
      <c r="B34" s="2743"/>
      <c r="C34" s="1580" t="s">
        <v>71</v>
      </c>
      <c r="D34" s="1567"/>
      <c r="E34" s="1567"/>
      <c r="F34" s="1792">
        <v>0.3</v>
      </c>
      <c r="G34" s="1570">
        <f>(L27*4)-(L27*4)*F34</f>
        <v>0</v>
      </c>
      <c r="H34" s="1561"/>
      <c r="I34" s="1561"/>
      <c r="J34" s="1561"/>
      <c r="K34" s="1561"/>
      <c r="L34" s="2739"/>
      <c r="M34" s="230"/>
      <c r="N34" s="230"/>
    </row>
    <row r="35" spans="1:14">
      <c r="A35" s="1612"/>
      <c r="B35" s="1611"/>
      <c r="C35" s="1571" t="s">
        <v>1145</v>
      </c>
      <c r="D35" s="1572"/>
      <c r="E35" s="1572"/>
      <c r="F35" s="1573"/>
      <c r="G35" s="1574"/>
      <c r="L35" s="2740"/>
    </row>
    <row r="36" spans="1:14">
      <c r="A36" s="1612"/>
      <c r="B36" s="1611"/>
      <c r="C36" s="1786" t="str">
        <f>IF(A29="x",C29,IF(A30="x",C30,IF(A31="x",C31,IF(A32="x",C32,IF(A33="x",C33,IF(A34="x",C34,""))))))</f>
        <v/>
      </c>
      <c r="D36" s="1787"/>
      <c r="E36" s="1787"/>
      <c r="F36" s="1788"/>
      <c r="G36" s="1789">
        <f>IF(A29="x",G29,IF(A30="x",G30,IF(A31="x",G31,IF(A32="x",G32,IF(A33="x",G33,IF(A34="x",G34,0))))))</f>
        <v>0</v>
      </c>
      <c r="L36" s="2740"/>
    </row>
    <row r="37" spans="1:14">
      <c r="A37" s="2727" t="s">
        <v>1238</v>
      </c>
      <c r="B37" s="2728"/>
      <c r="C37" s="2728"/>
      <c r="D37" s="2728"/>
      <c r="E37" s="2728"/>
      <c r="F37" s="2728"/>
      <c r="G37" s="2728"/>
      <c r="H37" s="2728"/>
      <c r="I37" s="2728"/>
      <c r="J37" s="2728"/>
      <c r="K37" s="2728"/>
      <c r="L37" s="2728"/>
      <c r="M37" s="2729"/>
      <c r="N37" s="339"/>
    </row>
    <row r="38" spans="1:14">
      <c r="A38" s="2730"/>
      <c r="B38" s="2731"/>
      <c r="C38" s="2731"/>
      <c r="D38" s="2731"/>
      <c r="E38" s="2731"/>
      <c r="F38" s="2731"/>
      <c r="G38" s="2731"/>
      <c r="H38" s="2731"/>
      <c r="I38" s="2731"/>
      <c r="J38" s="2731"/>
      <c r="K38" s="2731"/>
      <c r="L38" s="2731"/>
      <c r="M38" s="2732"/>
      <c r="N38" s="339"/>
    </row>
    <row r="39" spans="1:14">
      <c r="F39" s="230"/>
      <c r="G39" s="230"/>
    </row>
  </sheetData>
  <mergeCells count="15">
    <mergeCell ref="A37:M38"/>
    <mergeCell ref="H27:J27"/>
    <mergeCell ref="O26:P28"/>
    <mergeCell ref="A1:A7"/>
    <mergeCell ref="B1:L1"/>
    <mergeCell ref="C3:E3"/>
    <mergeCell ref="K3:K7"/>
    <mergeCell ref="L3:L7"/>
    <mergeCell ref="C4:C6"/>
    <mergeCell ref="D4:F4"/>
    <mergeCell ref="D5:F5"/>
    <mergeCell ref="D6:F6"/>
    <mergeCell ref="L28:L36"/>
    <mergeCell ref="A27:G27"/>
    <mergeCell ref="B29:B34"/>
  </mergeCells>
  <phoneticPr fontId="50" type="noConversion"/>
  <conditionalFormatting sqref="L8:L26">
    <cfRule type="cellIs" dxfId="46" priority="0" stopIfTrue="1" operator="equal">
      <formula>FALSE</formula>
    </cfRule>
  </conditionalFormatting>
  <pageMargins left="1.6312500000000001" right="0.75000000000000011" top="0.75000000000000011" bottom="0.78222222222222226" header="0.5" footer="0.5"/>
  <pageSetup paperSize="10" scale="74" orientation="landscape" horizontalDpi="4294967292" verticalDpi="4294967292"/>
  <headerFooter>
    <oddHeader>&amp;L© eric delamarre / GPLA - tous droits réservés - 07/02/2021_x000D_</oddHeader>
  </headerFooter>
  <extLst>
    <ext xmlns:mx="http://schemas.microsoft.com/office/mac/excel/2008/main" uri="http://schemas.microsoft.com/office/mac/excel/2008/main">
      <mx:PLV Mode="1"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G68"/>
  <sheetViews>
    <sheetView showGridLines="0" view="pageLayout" zoomScale="125" zoomScaleNormal="125" zoomScalePageLayoutView="125" workbookViewId="0">
      <selection activeCell="B64" sqref="B64:G64"/>
    </sheetView>
  </sheetViews>
  <sheetFormatPr baseColWidth="10" defaultRowHeight="12"/>
  <cols>
    <col min="1" max="1" width="2.875" style="23" customWidth="1"/>
    <col min="2" max="2" width="18.125" style="23" customWidth="1"/>
    <col min="3" max="3" width="27.25" style="23" customWidth="1"/>
    <col min="4" max="5" width="9.625" style="23" customWidth="1"/>
    <col min="6" max="6" width="12.25" style="23" customWidth="1"/>
    <col min="7" max="7" width="3.625" style="23" customWidth="1"/>
    <col min="8" max="8" width="19" style="23" customWidth="1"/>
    <col min="9" max="16384" width="10.625" style="23"/>
  </cols>
  <sheetData>
    <row r="1" spans="2:6" ht="14" customHeight="1">
      <c r="C1" s="336" t="s">
        <v>575</v>
      </c>
      <c r="D1" s="153" t="str">
        <f>'Devis-Fact'!A9</f>
        <v>DEVIS N°</v>
      </c>
      <c r="E1" s="153">
        <f>'Devis-Fact'!B9</f>
        <v>0</v>
      </c>
    </row>
    <row r="3" spans="2:6">
      <c r="B3" s="153" t="s">
        <v>595</v>
      </c>
      <c r="C3" s="154" t="str">
        <f>'Equipe et Location'!B25</f>
        <v>Frais (Accessoires, stylisme,…)</v>
      </c>
      <c r="D3" s="153"/>
      <c r="E3" s="153"/>
      <c r="F3" s="331" t="s">
        <v>506</v>
      </c>
    </row>
    <row r="5" spans="2:6">
      <c r="B5" s="83"/>
      <c r="C5" s="84"/>
      <c r="D5" s="85"/>
      <c r="E5" s="86"/>
      <c r="F5" s="87">
        <v>0</v>
      </c>
    </row>
    <row r="6" spans="2:6">
      <c r="B6" s="83"/>
      <c r="C6" s="84"/>
      <c r="D6" s="85"/>
      <c r="E6" s="86"/>
      <c r="F6" s="87">
        <v>0</v>
      </c>
    </row>
    <row r="7" spans="2:6">
      <c r="B7" s="88"/>
      <c r="C7" s="89"/>
      <c r="D7" s="85"/>
      <c r="E7" s="86"/>
      <c r="F7" s="87">
        <v>0</v>
      </c>
    </row>
    <row r="8" spans="2:6">
      <c r="B8" s="90"/>
      <c r="C8" s="84"/>
      <c r="D8" s="85"/>
      <c r="E8" s="86"/>
      <c r="F8" s="87">
        <v>0</v>
      </c>
    </row>
    <row r="9" spans="2:6">
      <c r="B9" s="83"/>
      <c r="C9" s="84"/>
      <c r="D9" s="85"/>
      <c r="E9" s="86"/>
      <c r="F9" s="87">
        <v>0</v>
      </c>
    </row>
    <row r="10" spans="2:6" ht="13">
      <c r="B10" s="91"/>
      <c r="C10" s="84"/>
      <c r="D10" s="85"/>
      <c r="E10" s="86"/>
      <c r="F10" s="87">
        <v>0</v>
      </c>
    </row>
    <row r="11" spans="2:6">
      <c r="B11" s="92"/>
      <c r="C11" s="84"/>
      <c r="D11" s="85"/>
      <c r="E11" s="86"/>
      <c r="F11" s="87">
        <v>0</v>
      </c>
    </row>
    <row r="12" spans="2:6">
      <c r="B12" s="92"/>
      <c r="C12" s="84"/>
      <c r="D12" s="85"/>
      <c r="E12" s="86"/>
      <c r="F12" s="87">
        <v>0</v>
      </c>
    </row>
    <row r="13" spans="2:6">
      <c r="B13" s="83"/>
      <c r="C13" s="84"/>
      <c r="D13" s="85"/>
      <c r="E13" s="86"/>
      <c r="F13" s="87">
        <v>0</v>
      </c>
    </row>
    <row r="14" spans="2:6">
      <c r="B14" s="83"/>
      <c r="C14" s="84"/>
      <c r="D14" s="85"/>
      <c r="E14" s="86"/>
      <c r="F14" s="87">
        <v>0</v>
      </c>
    </row>
    <row r="15" spans="2:6">
      <c r="B15" s="83"/>
      <c r="C15" s="84"/>
      <c r="D15" s="85"/>
      <c r="E15" s="86"/>
      <c r="F15" s="87">
        <v>0</v>
      </c>
    </row>
    <row r="16" spans="2:6">
      <c r="B16" s="83"/>
      <c r="C16" s="84"/>
      <c r="D16" s="85"/>
      <c r="E16" s="86"/>
      <c r="F16" s="87">
        <v>0</v>
      </c>
    </row>
    <row r="17" spans="2:6">
      <c r="B17" s="83"/>
      <c r="C17" s="84"/>
      <c r="D17" s="85"/>
      <c r="E17" s="86"/>
      <c r="F17" s="87">
        <v>0</v>
      </c>
    </row>
    <row r="18" spans="2:6">
      <c r="B18" s="83"/>
      <c r="C18" s="84"/>
      <c r="D18" s="85"/>
      <c r="E18" s="86"/>
      <c r="F18" s="87">
        <v>0</v>
      </c>
    </row>
    <row r="19" spans="2:6">
      <c r="B19" s="88"/>
      <c r="C19" s="89"/>
      <c r="D19" s="85"/>
      <c r="E19" s="86"/>
      <c r="F19" s="87">
        <v>0</v>
      </c>
    </row>
    <row r="20" spans="2:6">
      <c r="B20" s="83"/>
      <c r="C20" s="84"/>
      <c r="D20" s="85"/>
      <c r="E20" s="86"/>
      <c r="F20" s="87">
        <v>0</v>
      </c>
    </row>
    <row r="21" spans="2:6">
      <c r="B21" s="88"/>
      <c r="C21" s="93"/>
      <c r="D21" s="85"/>
      <c r="E21" s="86"/>
      <c r="F21" s="87">
        <v>0</v>
      </c>
    </row>
    <row r="22" spans="2:6">
      <c r="B22" s="88"/>
      <c r="C22" s="93"/>
      <c r="D22" s="85"/>
      <c r="E22" s="86"/>
      <c r="F22" s="87">
        <v>0</v>
      </c>
    </row>
    <row r="23" spans="2:6">
      <c r="B23" s="88"/>
      <c r="C23" s="93"/>
      <c r="D23" s="85"/>
      <c r="E23" s="86"/>
      <c r="F23" s="87">
        <v>0</v>
      </c>
    </row>
    <row r="24" spans="2:6">
      <c r="B24" s="88"/>
      <c r="C24" s="89"/>
      <c r="D24" s="85"/>
      <c r="E24" s="86"/>
      <c r="F24" s="87">
        <v>0</v>
      </c>
    </row>
    <row r="25" spans="2:6">
      <c r="B25" s="90"/>
      <c r="C25" s="84"/>
      <c r="D25" s="85"/>
      <c r="E25" s="86"/>
      <c r="F25" s="87">
        <v>0</v>
      </c>
    </row>
    <row r="26" spans="2:6">
      <c r="B26" s="83"/>
      <c r="C26" s="84"/>
      <c r="D26" s="85"/>
      <c r="E26" s="86"/>
      <c r="F26" s="87">
        <v>0</v>
      </c>
    </row>
    <row r="27" spans="2:6" ht="13">
      <c r="B27" s="91"/>
      <c r="C27" s="84"/>
      <c r="D27" s="85"/>
      <c r="E27" s="86"/>
      <c r="F27" s="87">
        <v>0</v>
      </c>
    </row>
    <row r="28" spans="2:6">
      <c r="B28" s="92"/>
      <c r="C28" s="84"/>
      <c r="D28" s="85"/>
      <c r="E28" s="86"/>
      <c r="F28" s="87">
        <v>0</v>
      </c>
    </row>
    <row r="29" spans="2:6">
      <c r="B29" s="92"/>
      <c r="C29" s="84"/>
      <c r="D29" s="85"/>
      <c r="E29" s="86"/>
      <c r="F29" s="87">
        <v>0</v>
      </c>
    </row>
    <row r="30" spans="2:6">
      <c r="B30" s="83"/>
      <c r="C30" s="84"/>
      <c r="D30" s="85"/>
      <c r="E30" s="86"/>
      <c r="F30" s="87">
        <v>0</v>
      </c>
    </row>
    <row r="31" spans="2:6">
      <c r="B31" s="83"/>
      <c r="C31" s="84"/>
      <c r="D31" s="85"/>
      <c r="E31" s="86"/>
      <c r="F31" s="87">
        <v>0</v>
      </c>
    </row>
    <row r="32" spans="2:6">
      <c r="B32" s="83"/>
      <c r="C32" s="84"/>
      <c r="D32" s="85"/>
      <c r="E32" s="86"/>
      <c r="F32" s="87">
        <v>0</v>
      </c>
    </row>
    <row r="33" spans="2:7">
      <c r="B33" s="83"/>
      <c r="C33" s="84"/>
      <c r="D33" s="85"/>
      <c r="E33" s="86"/>
      <c r="F33" s="87">
        <v>0</v>
      </c>
    </row>
    <row r="34" spans="2:7">
      <c r="B34" s="83"/>
      <c r="C34" s="84"/>
      <c r="D34" s="85"/>
      <c r="E34" s="86"/>
      <c r="F34" s="87">
        <v>0</v>
      </c>
    </row>
    <row r="35" spans="2:7">
      <c r="B35" s="83"/>
      <c r="C35" s="84"/>
      <c r="D35" s="85"/>
      <c r="E35" s="86"/>
      <c r="F35" s="87">
        <v>0</v>
      </c>
    </row>
    <row r="36" spans="2:7">
      <c r="B36" s="88"/>
      <c r="C36" s="89"/>
      <c r="D36" s="85"/>
      <c r="E36" s="86"/>
      <c r="F36" s="87">
        <v>0</v>
      </c>
    </row>
    <row r="37" spans="2:7">
      <c r="B37" s="83"/>
      <c r="C37" s="84"/>
      <c r="D37" s="85"/>
      <c r="E37" s="86"/>
      <c r="F37" s="87">
        <v>0</v>
      </c>
    </row>
    <row r="38" spans="2:7">
      <c r="B38" s="88"/>
      <c r="C38" s="93"/>
      <c r="D38" s="85"/>
      <c r="E38" s="86"/>
      <c r="F38" s="87">
        <v>0</v>
      </c>
    </row>
    <row r="39" spans="2:7">
      <c r="B39" s="88"/>
      <c r="C39" s="93"/>
      <c r="D39" s="85"/>
      <c r="E39" s="86"/>
      <c r="F39" s="87">
        <v>0</v>
      </c>
    </row>
    <row r="40" spans="2:7">
      <c r="B40" s="88"/>
      <c r="C40" s="93"/>
      <c r="D40" s="85"/>
      <c r="E40" s="86"/>
      <c r="F40" s="87">
        <v>0</v>
      </c>
    </row>
    <row r="41" spans="2:7">
      <c r="E41" s="94" t="str">
        <f>IF('Votre profil'!D11="non","TOTAL NET","TOTAL HT")</f>
        <v>TOTAL NET</v>
      </c>
      <c r="F41" s="95">
        <f>SUM(F5:F40)</f>
        <v>0</v>
      </c>
      <c r="G41" s="98" t="s">
        <v>583</v>
      </c>
    </row>
    <row r="43" spans="2:7">
      <c r="B43" s="153" t="s">
        <v>818</v>
      </c>
      <c r="C43" s="154" t="str">
        <f>'Equipe et Location'!B31</f>
        <v>Labo, autres frais divers,…</v>
      </c>
      <c r="D43" s="153"/>
      <c r="E43" s="153"/>
      <c r="F43" s="153"/>
    </row>
    <row r="44" spans="2:7" s="31" customFormat="1">
      <c r="B44" s="23"/>
      <c r="C44" s="23"/>
      <c r="D44" s="23"/>
      <c r="E44" s="23"/>
      <c r="F44" s="23"/>
    </row>
    <row r="45" spans="2:7" s="31" customFormat="1">
      <c r="B45" s="83"/>
      <c r="C45" s="84"/>
      <c r="D45" s="85"/>
      <c r="E45" s="86"/>
      <c r="F45" s="87">
        <v>0</v>
      </c>
    </row>
    <row r="46" spans="2:7" s="31" customFormat="1">
      <c r="B46" s="83"/>
      <c r="C46" s="84"/>
      <c r="D46" s="85"/>
      <c r="E46" s="86"/>
      <c r="F46" s="87">
        <v>0</v>
      </c>
    </row>
    <row r="47" spans="2:7">
      <c r="B47" s="88"/>
      <c r="C47" s="89"/>
      <c r="D47" s="85"/>
      <c r="E47" s="86"/>
      <c r="F47" s="87">
        <v>0</v>
      </c>
    </row>
    <row r="48" spans="2:7">
      <c r="B48" s="90"/>
      <c r="C48" s="84"/>
      <c r="D48" s="85"/>
      <c r="E48" s="86"/>
      <c r="F48" s="87">
        <v>0</v>
      </c>
    </row>
    <row r="49" spans="2:7">
      <c r="B49" s="83"/>
      <c r="C49" s="84"/>
      <c r="D49" s="85"/>
      <c r="E49" s="86"/>
      <c r="F49" s="87">
        <v>0</v>
      </c>
    </row>
    <row r="50" spans="2:7" ht="13">
      <c r="B50" s="91"/>
      <c r="C50" s="84"/>
      <c r="D50" s="85"/>
      <c r="E50" s="86"/>
      <c r="F50" s="87">
        <v>0</v>
      </c>
    </row>
    <row r="51" spans="2:7">
      <c r="B51" s="92"/>
      <c r="C51" s="84"/>
      <c r="D51" s="85"/>
      <c r="E51" s="86"/>
      <c r="F51" s="87">
        <v>0</v>
      </c>
    </row>
    <row r="52" spans="2:7">
      <c r="B52" s="92"/>
      <c r="C52" s="84"/>
      <c r="D52" s="85"/>
      <c r="E52" s="86"/>
      <c r="F52" s="87">
        <v>0</v>
      </c>
    </row>
    <row r="53" spans="2:7">
      <c r="B53" s="83"/>
      <c r="C53" s="84"/>
      <c r="D53" s="85"/>
      <c r="E53" s="86"/>
      <c r="F53" s="87">
        <v>0</v>
      </c>
    </row>
    <row r="54" spans="2:7">
      <c r="B54" s="83"/>
      <c r="C54" s="84"/>
      <c r="D54" s="85"/>
      <c r="E54" s="86"/>
      <c r="F54" s="87">
        <v>0</v>
      </c>
    </row>
    <row r="55" spans="2:7">
      <c r="B55" s="83"/>
      <c r="C55" s="84"/>
      <c r="D55" s="85"/>
      <c r="E55" s="86"/>
      <c r="F55" s="87">
        <v>0</v>
      </c>
    </row>
    <row r="56" spans="2:7">
      <c r="B56" s="83"/>
      <c r="C56" s="84"/>
      <c r="D56" s="85"/>
      <c r="E56" s="86"/>
      <c r="F56" s="87">
        <v>0</v>
      </c>
    </row>
    <row r="57" spans="2:7">
      <c r="B57" s="83"/>
      <c r="C57" s="84"/>
      <c r="D57" s="85"/>
      <c r="E57" s="86"/>
      <c r="F57" s="87">
        <v>0</v>
      </c>
    </row>
    <row r="58" spans="2:7">
      <c r="B58" s="83"/>
      <c r="C58" s="84"/>
      <c r="D58" s="85"/>
      <c r="E58" s="86"/>
      <c r="F58" s="87">
        <v>0</v>
      </c>
    </row>
    <row r="59" spans="2:7">
      <c r="B59" s="88"/>
      <c r="C59" s="89"/>
      <c r="D59" s="85"/>
      <c r="E59" s="86"/>
      <c r="F59" s="87">
        <v>0</v>
      </c>
    </row>
    <row r="60" spans="2:7">
      <c r="B60" s="83"/>
      <c r="C60" s="84"/>
      <c r="D60" s="85"/>
      <c r="E60" s="86"/>
      <c r="F60" s="87">
        <v>0</v>
      </c>
    </row>
    <row r="61" spans="2:7">
      <c r="E61" s="94" t="str">
        <f>IF('Votre profil'!D11="non","TOTAL NET","TOTAL HT")</f>
        <v>TOTAL NET</v>
      </c>
      <c r="F61" s="95">
        <f>SUM(F45:F60)</f>
        <v>0</v>
      </c>
      <c r="G61" s="98" t="s">
        <v>411</v>
      </c>
    </row>
    <row r="64" spans="2:7">
      <c r="B64" s="2744" t="str">
        <f>IF('Votre profil'!D11="oui","Les montants sont indiqués HT, lorsque la TVA est récupérable", "N'étant pas assujetti à la TVA, les montants sont indiqués pour la valeur totale TTC effectivement réglèe")</f>
        <v>N'étant pas assujetti à la TVA, les montants sont indiqués pour la valeur totale TTC effectivement réglèe</v>
      </c>
      <c r="C64" s="2744"/>
      <c r="D64" s="2744"/>
      <c r="E64" s="2744"/>
      <c r="F64" s="2744"/>
      <c r="G64" s="2744"/>
    </row>
    <row r="67" spans="2:5" ht="13">
      <c r="B67" s="113"/>
      <c r="C67" s="96"/>
    </row>
    <row r="68" spans="2:5" ht="13">
      <c r="B68" s="113"/>
      <c r="D68" s="97"/>
      <c r="E68" s="97"/>
    </row>
  </sheetData>
  <mergeCells count="1">
    <mergeCell ref="B64:G64"/>
  </mergeCells>
  <phoneticPr fontId="50" type="noConversion"/>
  <printOptions horizontalCentered="1" verticalCentered="1"/>
  <pageMargins left="0.39" right="0.39" top="0.45" bottom="0.37" header="0.51" footer="0.37"/>
  <pageSetup paperSize="10" scale="80" orientation="portrait" horizontalDpi="4294967292" verticalDpi="4294967292"/>
  <ignoredErrors>
    <ignoredError sqref="G61 G41" numberStoredAsText="1"/>
  </ignoredErrors>
  <extLst>
    <ext xmlns:mx="http://schemas.microsoft.com/office/mac/excel/2008/main" uri="http://schemas.microsoft.com/office/mac/excel/2008/main">
      <mx:PLV Mode="1"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2:U73"/>
  <sheetViews>
    <sheetView showGridLines="0" view="pageLayout" topLeftCell="B1" zoomScale="80" zoomScaleNormal="75" zoomScalePageLayoutView="80" workbookViewId="0">
      <selection activeCell="O30" sqref="O30"/>
    </sheetView>
  </sheetViews>
  <sheetFormatPr baseColWidth="10" defaultRowHeight="14"/>
  <cols>
    <col min="1" max="1" width="5.75" style="14" customWidth="1"/>
    <col min="2" max="2" width="30" style="14" customWidth="1"/>
    <col min="3" max="6" width="17.125" style="14" customWidth="1"/>
    <col min="7" max="9" width="16.625" style="14" customWidth="1"/>
    <col min="10" max="10" width="6.5" style="14" customWidth="1"/>
    <col min="11" max="11" width="9.125" style="14" customWidth="1"/>
    <col min="12" max="12" width="4.625" style="14" customWidth="1"/>
    <col min="13" max="14" width="10.625" style="14"/>
    <col min="15" max="15" width="11.5" style="14" customWidth="1"/>
    <col min="16" max="16" width="11.25" style="14" customWidth="1"/>
    <col min="17" max="17" width="12.625" style="14" customWidth="1"/>
    <col min="18" max="18" width="2.75" style="14" customWidth="1"/>
    <col min="19" max="19" width="10.625" style="14"/>
    <col min="20" max="20" width="5.75" style="14" customWidth="1"/>
    <col min="21" max="21" width="15.625" style="14" customWidth="1"/>
    <col min="22" max="16384" width="10.625" style="14"/>
  </cols>
  <sheetData>
    <row r="2" spans="1:21" ht="27" customHeight="1">
      <c r="B2" s="15"/>
      <c r="C2" s="15"/>
      <c r="D2" s="15"/>
      <c r="E2" s="306" t="s">
        <v>124</v>
      </c>
      <c r="F2" s="61"/>
      <c r="G2" s="61"/>
      <c r="H2" s="61"/>
      <c r="I2" s="61"/>
      <c r="K2" s="2745" t="s">
        <v>1143</v>
      </c>
      <c r="L2" s="2309"/>
      <c r="M2" s="2309"/>
      <c r="N2" s="2309"/>
      <c r="O2" s="2309"/>
      <c r="P2" s="2309"/>
      <c r="Q2" s="2309"/>
      <c r="R2" s="2309"/>
      <c r="S2" s="2309"/>
      <c r="T2" s="2309"/>
      <c r="U2" s="2310"/>
    </row>
    <row r="3" spans="1:21" ht="25" customHeight="1">
      <c r="A3" s="2784" t="s">
        <v>646</v>
      </c>
      <c r="B3" s="590" t="s">
        <v>255</v>
      </c>
      <c r="C3" s="163" t="s">
        <v>739</v>
      </c>
      <c r="D3" s="2808" t="s">
        <v>937</v>
      </c>
      <c r="E3" s="2809"/>
      <c r="F3" s="2809"/>
      <c r="G3" s="2809"/>
      <c r="H3" s="2809"/>
      <c r="I3" s="2810"/>
      <c r="K3" s="2746"/>
      <c r="L3" s="2311"/>
      <c r="M3" s="2311"/>
      <c r="N3" s="2311"/>
      <c r="O3" s="2311"/>
      <c r="P3" s="2311"/>
      <c r="Q3" s="2311"/>
      <c r="R3" s="2311"/>
      <c r="S3" s="2311"/>
      <c r="T3" s="2311"/>
      <c r="U3" s="2312"/>
    </row>
    <row r="4" spans="1:21" s="15" customFormat="1" ht="22" customHeight="1">
      <c r="A4" s="2785"/>
      <c r="B4" s="1017"/>
      <c r="C4" s="1016"/>
      <c r="D4" s="796" t="s">
        <v>14</v>
      </c>
      <c r="E4" s="796" t="s">
        <v>141</v>
      </c>
      <c r="F4" s="796" t="s">
        <v>198</v>
      </c>
      <c r="G4" s="796" t="s">
        <v>433</v>
      </c>
      <c r="H4" s="796" t="s">
        <v>352</v>
      </c>
      <c r="I4" s="796" t="s">
        <v>1156</v>
      </c>
      <c r="K4" s="2831" t="s">
        <v>955</v>
      </c>
      <c r="L4" s="2832"/>
      <c r="M4" s="2832"/>
      <c r="N4" s="2832"/>
      <c r="O4" s="2832"/>
      <c r="P4" s="2791">
        <v>0</v>
      </c>
      <c r="Q4" s="2833">
        <f>(E40+E49+C36)*imprevus</f>
        <v>0</v>
      </c>
      <c r="R4" s="2818"/>
      <c r="S4" s="2792"/>
      <c r="T4" s="2792"/>
      <c r="U4" s="2792"/>
    </row>
    <row r="5" spans="1:21" s="15" customFormat="1" ht="24" customHeight="1">
      <c r="A5" s="2785"/>
      <c r="B5" s="2806" t="s">
        <v>1139</v>
      </c>
      <c r="C5" s="2807"/>
      <c r="D5" s="797">
        <v>0</v>
      </c>
      <c r="E5" s="797">
        <v>120</v>
      </c>
      <c r="F5" s="797">
        <v>8</v>
      </c>
      <c r="G5" s="797">
        <v>15</v>
      </c>
      <c r="H5" s="797">
        <v>20</v>
      </c>
      <c r="I5" s="1343">
        <f>SUM(E5:H5)*D5</f>
        <v>0</v>
      </c>
      <c r="K5" s="2792"/>
      <c r="L5" s="2792"/>
      <c r="M5" s="2792"/>
      <c r="N5" s="2792"/>
      <c r="O5" s="2792"/>
      <c r="P5" s="2792"/>
      <c r="Q5" s="2792"/>
      <c r="R5" s="2792"/>
      <c r="S5" s="2792"/>
      <c r="T5" s="2792"/>
      <c r="U5" s="2792"/>
    </row>
    <row r="6" spans="1:21" s="15" customFormat="1" ht="24" customHeight="1">
      <c r="A6" s="2785"/>
      <c r="B6" s="2806" t="s">
        <v>907</v>
      </c>
      <c r="C6" s="2807"/>
      <c r="D6" s="798">
        <v>0</v>
      </c>
      <c r="E6" s="798">
        <v>160</v>
      </c>
      <c r="F6" s="798">
        <v>12</v>
      </c>
      <c r="G6" s="798">
        <v>20</v>
      </c>
      <c r="H6" s="798">
        <v>25</v>
      </c>
      <c r="I6" s="1344">
        <f>SUM(E6:H6)*D6</f>
        <v>0</v>
      </c>
    </row>
    <row r="7" spans="1:21" s="15" customFormat="1" ht="24" customHeight="1">
      <c r="A7" s="2785"/>
      <c r="B7" s="2806" t="s">
        <v>1152</v>
      </c>
      <c r="C7" s="2811"/>
      <c r="D7" s="798">
        <v>0</v>
      </c>
      <c r="E7" s="798">
        <v>100</v>
      </c>
      <c r="F7" s="798">
        <v>8</v>
      </c>
      <c r="G7" s="798">
        <v>15</v>
      </c>
      <c r="H7" s="798">
        <v>20</v>
      </c>
      <c r="I7" s="1344">
        <f>SUM(E7:H7)*D7</f>
        <v>0</v>
      </c>
      <c r="K7" s="2762" t="s">
        <v>850</v>
      </c>
      <c r="L7" s="2763"/>
      <c r="M7" s="2763"/>
      <c r="N7" s="2763"/>
      <c r="O7" s="2763"/>
      <c r="P7" s="2763"/>
      <c r="Q7" s="2763"/>
      <c r="R7" s="2763"/>
      <c r="S7" s="2763"/>
      <c r="T7" s="2763"/>
      <c r="U7" s="2764"/>
    </row>
    <row r="8" spans="1:21" s="15" customFormat="1" ht="24" customHeight="1">
      <c r="A8" s="2785"/>
      <c r="B8" s="2793" t="s">
        <v>1056</v>
      </c>
      <c r="C8" s="2794"/>
      <c r="D8" s="799">
        <v>0</v>
      </c>
      <c r="E8" s="799">
        <v>120</v>
      </c>
      <c r="F8" s="799">
        <v>12</v>
      </c>
      <c r="G8" s="799">
        <v>20</v>
      </c>
      <c r="H8" s="799">
        <v>25</v>
      </c>
      <c r="I8" s="1345">
        <f>SUM(E8:H8)*D8</f>
        <v>0</v>
      </c>
      <c r="K8" s="2765"/>
      <c r="L8" s="2766"/>
      <c r="M8" s="2766"/>
      <c r="N8" s="2766"/>
      <c r="O8" s="2766"/>
      <c r="P8" s="2766"/>
      <c r="Q8" s="2766"/>
      <c r="R8" s="2766"/>
      <c r="S8" s="2766"/>
      <c r="T8" s="2766"/>
      <c r="U8" s="2767"/>
    </row>
    <row r="9" spans="1:21" s="15" customFormat="1" ht="24" customHeight="1">
      <c r="A9" s="2805"/>
      <c r="B9" s="182"/>
      <c r="C9" s="183"/>
      <c r="D9" s="1268">
        <f>SUM(D5:D8)</f>
        <v>0</v>
      </c>
      <c r="E9" s="800" t="s">
        <v>747</v>
      </c>
      <c r="F9" s="801" t="s">
        <v>976</v>
      </c>
      <c r="G9" s="1269" t="str">
        <f>IF(I9=0,"",I9/D9)</f>
        <v/>
      </c>
      <c r="H9" s="802" t="s">
        <v>1055</v>
      </c>
      <c r="I9" s="1440">
        <f>SUM(I5:I8)</f>
        <v>0</v>
      </c>
      <c r="K9" s="2768"/>
      <c r="L9" s="2769"/>
      <c r="M9" s="2769"/>
      <c r="N9" s="2769"/>
      <c r="O9" s="2769"/>
      <c r="P9" s="2769"/>
      <c r="Q9" s="2769"/>
      <c r="R9" s="2769"/>
      <c r="S9" s="2769"/>
      <c r="T9" s="2769"/>
      <c r="U9" s="2770"/>
    </row>
    <row r="10" spans="1:21" s="15" customFormat="1" ht="24" customHeight="1"/>
    <row r="11" spans="1:21" s="15" customFormat="1" ht="31" customHeight="1">
      <c r="B11" s="16"/>
      <c r="C11" s="177" t="s">
        <v>661</v>
      </c>
      <c r="D11" s="1441">
        <f>D9</f>
        <v>0</v>
      </c>
      <c r="F11" s="65"/>
      <c r="G11" s="65"/>
      <c r="H11" s="1130" t="s">
        <v>1182</v>
      </c>
      <c r="I11" s="1442">
        <v>2</v>
      </c>
    </row>
    <row r="12" spans="1:21" s="15" customFormat="1" ht="24" customHeight="1">
      <c r="A12" s="14"/>
      <c r="B12" s="79" t="s">
        <v>356</v>
      </c>
      <c r="C12" s="14"/>
      <c r="D12" s="66"/>
      <c r="E12" s="67"/>
      <c r="F12" s="67"/>
      <c r="G12" s="67"/>
      <c r="H12" s="1440" t="s">
        <v>557</v>
      </c>
      <c r="I12" s="1439">
        <f>I9*I11</f>
        <v>0</v>
      </c>
      <c r="K12" s="2753" t="s">
        <v>1245</v>
      </c>
      <c r="L12" s="2754"/>
      <c r="M12" s="2754"/>
      <c r="N12" s="2754"/>
      <c r="O12" s="2754"/>
      <c r="P12" s="2754"/>
      <c r="Q12" s="2754"/>
      <c r="R12" s="2754"/>
      <c r="S12" s="2754"/>
      <c r="T12" s="2754"/>
      <c r="U12" s="2755"/>
    </row>
    <row r="13" spans="1:21" s="15" customFormat="1" ht="24" customHeight="1">
      <c r="K13" s="2756"/>
      <c r="L13" s="2757"/>
      <c r="M13" s="2757"/>
      <c r="N13" s="2757"/>
      <c r="O13" s="2757"/>
      <c r="P13" s="2757"/>
      <c r="Q13" s="2757"/>
      <c r="R13" s="2757"/>
      <c r="S13" s="2757"/>
      <c r="T13" s="2757"/>
      <c r="U13" s="2758"/>
    </row>
    <row r="14" spans="1:21" s="15" customFormat="1" ht="39" customHeight="1" thickBot="1">
      <c r="A14" s="2784" t="s">
        <v>790</v>
      </c>
      <c r="B14" s="2812" t="s">
        <v>1122</v>
      </c>
      <c r="C14" s="803" t="s">
        <v>112</v>
      </c>
      <c r="D14" s="804" t="s">
        <v>632</v>
      </c>
      <c r="E14" s="804" t="s">
        <v>16</v>
      </c>
      <c r="F14" s="804" t="s">
        <v>489</v>
      </c>
      <c r="G14" s="804" t="s">
        <v>490</v>
      </c>
      <c r="H14" s="804" t="s">
        <v>630</v>
      </c>
      <c r="I14" s="804" t="s">
        <v>527</v>
      </c>
      <c r="K14" s="387"/>
      <c r="L14" s="2789" t="s">
        <v>1031</v>
      </c>
      <c r="M14" s="2789"/>
      <c r="N14" s="2789"/>
      <c r="O14" s="2789"/>
      <c r="P14" s="2789"/>
      <c r="Q14" s="2789"/>
      <c r="R14" s="2789"/>
      <c r="S14" s="2789"/>
      <c r="T14" s="2789"/>
      <c r="U14" s="2790"/>
    </row>
    <row r="15" spans="1:21" s="15" customFormat="1" ht="24" customHeight="1">
      <c r="A15" s="2785"/>
      <c r="B15" s="2813"/>
      <c r="C15" s="805"/>
      <c r="D15" s="805"/>
      <c r="E15" s="805"/>
      <c r="F15" s="805"/>
      <c r="G15" s="805"/>
      <c r="H15" s="805"/>
      <c r="I15" s="805"/>
      <c r="K15" s="121"/>
      <c r="L15" s="383"/>
      <c r="M15" s="114"/>
      <c r="N15" s="114"/>
      <c r="O15" s="114"/>
      <c r="P15" s="114"/>
      <c r="Q15" s="114"/>
      <c r="R15" s="114"/>
      <c r="S15" s="114"/>
      <c r="T15" s="2819" t="s">
        <v>269</v>
      </c>
      <c r="U15" s="2771" t="s">
        <v>1230</v>
      </c>
    </row>
    <row r="16" spans="1:21" s="15" customFormat="1" ht="24" customHeight="1">
      <c r="A16" s="2785"/>
      <c r="B16" s="2813"/>
      <c r="C16" s="806"/>
      <c r="D16" s="806"/>
      <c r="E16" s="806"/>
      <c r="F16" s="806"/>
      <c r="G16" s="806"/>
      <c r="H16" s="806"/>
      <c r="I16" s="806"/>
      <c r="K16" s="121"/>
      <c r="L16" s="383"/>
      <c r="M16" s="2774" t="s">
        <v>484</v>
      </c>
      <c r="N16" s="2775"/>
      <c r="O16" s="2775"/>
      <c r="P16" s="2775"/>
      <c r="Q16" s="2776"/>
      <c r="R16" s="114"/>
      <c r="S16" s="114"/>
      <c r="T16" s="2820"/>
      <c r="U16" s="2772"/>
    </row>
    <row r="17" spans="1:21" s="15" customFormat="1" ht="24" customHeight="1">
      <c r="A17" s="2785"/>
      <c r="B17" s="2813"/>
      <c r="C17" s="806"/>
      <c r="D17" s="806"/>
      <c r="E17" s="806"/>
      <c r="F17" s="806"/>
      <c r="G17" s="806"/>
      <c r="H17" s="806"/>
      <c r="I17" s="806"/>
      <c r="K17" s="121"/>
      <c r="L17" s="114"/>
      <c r="M17" s="2777"/>
      <c r="N17" s="2778"/>
      <c r="O17" s="2778"/>
      <c r="P17" s="2778"/>
      <c r="Q17" s="2779"/>
      <c r="R17" s="114"/>
      <c r="S17" s="114"/>
      <c r="T17" s="2820"/>
      <c r="U17" s="2772"/>
    </row>
    <row r="18" spans="1:21" s="15" customFormat="1" ht="24" customHeight="1">
      <c r="A18" s="2785"/>
      <c r="B18" s="2813"/>
      <c r="C18" s="806"/>
      <c r="D18" s="806"/>
      <c r="E18" s="806"/>
      <c r="F18" s="806"/>
      <c r="G18" s="806"/>
      <c r="H18" s="806"/>
      <c r="I18" s="806"/>
      <c r="K18" s="121"/>
      <c r="L18" s="114"/>
      <c r="M18" s="2777"/>
      <c r="N18" s="2778"/>
      <c r="O18" s="2778"/>
      <c r="P18" s="2778"/>
      <c r="Q18" s="2779"/>
      <c r="R18" s="114"/>
      <c r="S18" s="114"/>
      <c r="T18" s="2820"/>
      <c r="U18" s="2772"/>
    </row>
    <row r="19" spans="1:21" s="15" customFormat="1" ht="24" customHeight="1">
      <c r="A19" s="2785"/>
      <c r="B19" s="2813"/>
      <c r="C19" s="806"/>
      <c r="D19" s="806"/>
      <c r="E19" s="806"/>
      <c r="F19" s="806"/>
      <c r="G19" s="806"/>
      <c r="H19" s="806"/>
      <c r="I19" s="806"/>
      <c r="K19" s="121"/>
      <c r="L19" s="114"/>
      <c r="M19" s="2777"/>
      <c r="N19" s="2778"/>
      <c r="O19" s="2778"/>
      <c r="P19" s="2778"/>
      <c r="Q19" s="2779"/>
      <c r="R19" s="114"/>
      <c r="S19" s="114"/>
      <c r="T19" s="2820"/>
      <c r="U19" s="2772"/>
    </row>
    <row r="20" spans="1:21" s="15" customFormat="1" ht="24" customHeight="1">
      <c r="A20" s="2785"/>
      <c r="B20" s="2813"/>
      <c r="C20" s="806"/>
      <c r="D20" s="806"/>
      <c r="E20" s="806"/>
      <c r="F20" s="806"/>
      <c r="G20" s="806"/>
      <c r="H20" s="806"/>
      <c r="I20" s="806"/>
      <c r="K20" s="121"/>
      <c r="L20" s="114"/>
      <c r="M20" s="2777"/>
      <c r="N20" s="2778"/>
      <c r="O20" s="2778"/>
      <c r="P20" s="2778"/>
      <c r="Q20" s="2779"/>
      <c r="R20" s="114"/>
      <c r="S20" s="114"/>
      <c r="T20" s="2820"/>
      <c r="U20" s="2772"/>
    </row>
    <row r="21" spans="1:21" ht="18" customHeight="1" thickBot="1">
      <c r="A21" s="2785"/>
      <c r="B21" s="2814"/>
      <c r="C21" s="807"/>
      <c r="D21" s="807"/>
      <c r="E21" s="807"/>
      <c r="F21" s="807"/>
      <c r="G21" s="807"/>
      <c r="H21" s="807"/>
      <c r="I21" s="807"/>
      <c r="K21" s="388"/>
      <c r="L21" s="116"/>
      <c r="M21" s="2777"/>
      <c r="N21" s="2778"/>
      <c r="O21" s="2778"/>
      <c r="P21" s="2778"/>
      <c r="Q21" s="2779"/>
      <c r="R21" s="116"/>
      <c r="S21" s="116"/>
      <c r="T21" s="2820"/>
      <c r="U21" s="2772"/>
    </row>
    <row r="22" spans="1:21" s="15" customFormat="1" ht="18" customHeight="1" thickTop="1">
      <c r="A22" s="2785"/>
      <c r="B22" s="334" t="s">
        <v>421</v>
      </c>
      <c r="C22" s="808">
        <f t="shared" ref="C22:I22" si="0">SUM(C15:C21)</f>
        <v>0</v>
      </c>
      <c r="D22" s="809">
        <f t="shared" si="0"/>
        <v>0</v>
      </c>
      <c r="E22" s="809">
        <f t="shared" si="0"/>
        <v>0</v>
      </c>
      <c r="F22" s="809">
        <f t="shared" si="0"/>
        <v>0</v>
      </c>
      <c r="G22" s="809">
        <f t="shared" si="0"/>
        <v>0</v>
      </c>
      <c r="H22" s="809">
        <f t="shared" si="0"/>
        <v>0</v>
      </c>
      <c r="I22" s="809">
        <f t="shared" si="0"/>
        <v>0</v>
      </c>
      <c r="K22" s="121"/>
      <c r="L22" s="114"/>
      <c r="M22" s="2780"/>
      <c r="N22" s="2781"/>
      <c r="O22" s="2781"/>
      <c r="P22" s="2781"/>
      <c r="Q22" s="2782"/>
      <c r="R22" s="114"/>
      <c r="S22" s="114"/>
      <c r="T22" s="2820"/>
      <c r="U22" s="2772"/>
    </row>
    <row r="23" spans="1:21" ht="15" customHeight="1" thickBot="1">
      <c r="A23" s="2785"/>
      <c r="B23" s="2815" t="s">
        <v>926</v>
      </c>
      <c r="C23" s="116"/>
      <c r="D23" s="116"/>
      <c r="E23" s="116"/>
      <c r="F23" s="116"/>
      <c r="G23" s="122"/>
      <c r="H23" s="122"/>
      <c r="I23" s="123"/>
      <c r="K23" s="388"/>
      <c r="L23" s="116"/>
      <c r="M23" s="116"/>
      <c r="N23" s="116"/>
      <c r="O23" s="116"/>
      <c r="P23" s="116"/>
      <c r="Q23" s="116"/>
      <c r="R23" s="116"/>
      <c r="S23" s="116"/>
      <c r="T23" s="2820"/>
      <c r="U23" s="2772"/>
    </row>
    <row r="24" spans="1:21" s="64" customFormat="1" ht="23" customHeight="1" thickBot="1">
      <c r="A24" s="2785"/>
      <c r="B24" s="2816"/>
      <c r="C24" s="810" t="s">
        <v>83</v>
      </c>
      <c r="D24" s="811" t="s">
        <v>558</v>
      </c>
      <c r="E24" s="811" t="s">
        <v>169</v>
      </c>
      <c r="F24" s="812" t="s">
        <v>13</v>
      </c>
      <c r="G24" s="391"/>
      <c r="H24" s="391"/>
      <c r="I24" s="392"/>
      <c r="K24" s="389"/>
      <c r="L24" s="384"/>
      <c r="M24" s="384"/>
      <c r="N24" s="384"/>
      <c r="O24" s="385"/>
      <c r="P24" s="813" t="s">
        <v>494</v>
      </c>
      <c r="Q24" s="384"/>
      <c r="R24" s="384"/>
      <c r="S24" s="384"/>
      <c r="T24" s="2820"/>
      <c r="U24" s="2773"/>
    </row>
    <row r="25" spans="1:21" ht="17" customHeight="1" thickBot="1">
      <c r="A25" s="2785"/>
      <c r="B25" s="2816"/>
      <c r="C25" s="805"/>
      <c r="D25" s="805"/>
      <c r="E25" s="805"/>
      <c r="F25" s="805"/>
      <c r="G25" s="391"/>
      <c r="H25" s="391"/>
      <c r="I25" s="392"/>
      <c r="K25" s="390"/>
      <c r="L25" s="116"/>
      <c r="M25" s="116"/>
      <c r="N25" s="116"/>
      <c r="O25" s="119" t="s">
        <v>18</v>
      </c>
      <c r="P25" s="814">
        <f>SUM(Q27:Q31)+SUM(Q37:Q39)+Q34</f>
        <v>12.059999999999999</v>
      </c>
      <c r="Q25" s="116"/>
      <c r="R25" s="116"/>
      <c r="S25" s="116"/>
      <c r="T25" s="2821"/>
      <c r="U25" s="815">
        <f>SUM(U27:U31)+SUM(U37:U39)</f>
        <v>24.119999999999997</v>
      </c>
    </row>
    <row r="26" spans="1:21" ht="26" customHeight="1" thickTop="1" thickBot="1">
      <c r="A26" s="2785"/>
      <c r="B26" s="2816"/>
      <c r="C26" s="806"/>
      <c r="D26" s="806"/>
      <c r="E26" s="806"/>
      <c r="F26" s="806"/>
      <c r="G26" s="391"/>
      <c r="H26" s="391"/>
      <c r="I26" s="392"/>
      <c r="K26" s="2784" t="s">
        <v>791</v>
      </c>
      <c r="L26" s="386"/>
      <c r="M26" s="2824" t="s">
        <v>331</v>
      </c>
      <c r="N26" s="165" t="s">
        <v>172</v>
      </c>
      <c r="O26" s="166" t="s">
        <v>900</v>
      </c>
      <c r="P26" s="2786" t="s">
        <v>1244</v>
      </c>
      <c r="Q26" s="2787"/>
      <c r="R26" s="124"/>
      <c r="S26" s="2822" t="s">
        <v>409</v>
      </c>
      <c r="T26" s="162">
        <v>2</v>
      </c>
      <c r="U26" s="167" t="s">
        <v>979</v>
      </c>
    </row>
    <row r="27" spans="1:21" ht="29" customHeight="1">
      <c r="A27" s="2785"/>
      <c r="B27" s="2816"/>
      <c r="C27" s="806"/>
      <c r="D27" s="806"/>
      <c r="E27" s="806"/>
      <c r="F27" s="806"/>
      <c r="G27" s="391"/>
      <c r="H27" s="391"/>
      <c r="I27" s="392"/>
      <c r="K27" s="2785"/>
      <c r="L27" s="116"/>
      <c r="M27" s="2825"/>
      <c r="N27" s="244">
        <v>3</v>
      </c>
      <c r="O27" s="245">
        <v>0</v>
      </c>
      <c r="P27" s="246">
        <v>0.502</v>
      </c>
      <c r="Q27" s="247">
        <f>IF(O27&lt;5001,O27*P27,0)</f>
        <v>0</v>
      </c>
      <c r="R27" s="125"/>
      <c r="S27" s="2823"/>
      <c r="T27" s="125"/>
      <c r="U27" s="1261">
        <f>Q27*$T$26</f>
        <v>0</v>
      </c>
    </row>
    <row r="28" spans="1:21" ht="21" customHeight="1">
      <c r="A28" s="2785"/>
      <c r="B28" s="2816"/>
      <c r="C28" s="806"/>
      <c r="D28" s="806"/>
      <c r="E28" s="806"/>
      <c r="F28" s="806"/>
      <c r="G28" s="391"/>
      <c r="H28" s="391"/>
      <c r="I28" s="392"/>
      <c r="K28" s="2785"/>
      <c r="L28" s="116"/>
      <c r="M28" s="2826"/>
      <c r="N28" s="248">
        <v>4</v>
      </c>
      <c r="O28" s="249">
        <v>0</v>
      </c>
      <c r="P28" s="250">
        <v>0.57499999999999996</v>
      </c>
      <c r="Q28" s="251">
        <f>IF(O28&lt;5001,O28*P28,0)</f>
        <v>0</v>
      </c>
      <c r="R28" s="125"/>
      <c r="S28" s="2823"/>
      <c r="T28" s="125"/>
      <c r="U28" s="1262">
        <f>Q28*$T$26</f>
        <v>0</v>
      </c>
    </row>
    <row r="29" spans="1:21" ht="21" customHeight="1">
      <c r="A29" s="2785"/>
      <c r="B29" s="2816"/>
      <c r="C29" s="806"/>
      <c r="D29" s="806"/>
      <c r="E29" s="806"/>
      <c r="F29" s="806"/>
      <c r="G29" s="391"/>
      <c r="H29" s="391"/>
      <c r="I29" s="392"/>
      <c r="K29" s="2785"/>
      <c r="L29" s="116"/>
      <c r="M29" s="2826"/>
      <c r="N29" s="248">
        <v>5</v>
      </c>
      <c r="O29" s="249">
        <v>20</v>
      </c>
      <c r="P29" s="250">
        <v>0.60299999999999998</v>
      </c>
      <c r="Q29" s="251">
        <f>IF(O29&lt;5001,O29*P29,0)</f>
        <v>12.059999999999999</v>
      </c>
      <c r="R29" s="125"/>
      <c r="S29" s="2823"/>
      <c r="T29" s="125"/>
      <c r="U29" s="1262">
        <f>Q29*$T$26</f>
        <v>24.119999999999997</v>
      </c>
    </row>
    <row r="30" spans="1:21" ht="21" customHeight="1" thickBot="1">
      <c r="A30" s="2785"/>
      <c r="B30" s="2817"/>
      <c r="C30" s="807"/>
      <c r="D30" s="807"/>
      <c r="E30" s="807"/>
      <c r="F30" s="807"/>
      <c r="G30" s="391"/>
      <c r="H30" s="391"/>
      <c r="I30" s="392"/>
      <c r="K30" s="2785"/>
      <c r="L30" s="116"/>
      <c r="M30" s="2826"/>
      <c r="N30" s="248">
        <v>6</v>
      </c>
      <c r="O30" s="249">
        <v>0</v>
      </c>
      <c r="P30" s="250">
        <v>0.63100000000000001</v>
      </c>
      <c r="Q30" s="251">
        <f>IF(O30&lt;5001,O30*P30,0)</f>
        <v>0</v>
      </c>
      <c r="R30" s="125"/>
      <c r="S30" s="2823"/>
      <c r="T30" s="125"/>
      <c r="U30" s="1262">
        <f>Q30*$T$26</f>
        <v>0</v>
      </c>
    </row>
    <row r="31" spans="1:21" ht="21" customHeight="1" thickTop="1" thickBot="1">
      <c r="A31" s="2805"/>
      <c r="B31" s="112" t="s">
        <v>421</v>
      </c>
      <c r="C31" s="808">
        <f>SUM(C25:C30)</f>
        <v>0</v>
      </c>
      <c r="D31" s="809">
        <f>SUM(D25:D30)</f>
        <v>0</v>
      </c>
      <c r="E31" s="809">
        <f>SUM(E25:E30)</f>
        <v>0</v>
      </c>
      <c r="F31" s="809">
        <f>SUM(F25:F30)</f>
        <v>0</v>
      </c>
      <c r="G31" s="393"/>
      <c r="H31" s="393"/>
      <c r="I31" s="394"/>
      <c r="K31" s="2785"/>
      <c r="L31" s="116"/>
      <c r="M31" s="2827"/>
      <c r="N31" s="252" t="s">
        <v>727</v>
      </c>
      <c r="O31" s="253">
        <v>0</v>
      </c>
      <c r="P31" s="254">
        <v>0.66100000000000003</v>
      </c>
      <c r="Q31" s="255">
        <f>IF(O31&lt;5001,O31*P31,0)</f>
        <v>0</v>
      </c>
      <c r="R31" s="125"/>
      <c r="S31" s="2823"/>
      <c r="T31" s="125"/>
      <c r="U31" s="1263">
        <f>Q31*$T$26</f>
        <v>0</v>
      </c>
    </row>
    <row r="32" spans="1:21" ht="21" customHeight="1" thickTop="1">
      <c r="K32" s="2785"/>
      <c r="L32" s="116"/>
      <c r="M32" s="117"/>
      <c r="N32" s="114"/>
      <c r="O32" s="114"/>
      <c r="P32" s="114"/>
      <c r="Q32" s="114"/>
      <c r="R32" s="125"/>
      <c r="S32" s="2823"/>
      <c r="T32" s="125"/>
      <c r="U32" s="256"/>
    </row>
    <row r="33" spans="1:21" ht="28" customHeight="1" thickBot="1">
      <c r="A33" s="2784" t="s">
        <v>638</v>
      </c>
      <c r="B33" s="983" t="s">
        <v>1030</v>
      </c>
      <c r="C33" s="688"/>
      <c r="D33" s="688"/>
      <c r="E33" s="688"/>
      <c r="F33" s="2747" t="s">
        <v>1010</v>
      </c>
      <c r="G33" s="2795"/>
      <c r="H33" s="2795"/>
      <c r="I33" s="2796"/>
      <c r="K33" s="2785"/>
      <c r="L33" s="116"/>
      <c r="M33" s="1934" t="s">
        <v>299</v>
      </c>
      <c r="N33" s="2829"/>
      <c r="O33" s="2829"/>
      <c r="P33" s="2829"/>
      <c r="Q33" s="2830"/>
      <c r="R33" s="125"/>
      <c r="S33" s="2823"/>
      <c r="T33" s="125"/>
      <c r="U33" s="256"/>
    </row>
    <row r="34" spans="1:21" s="15" customFormat="1" ht="45" customHeight="1" thickBot="1">
      <c r="A34" s="2803"/>
      <c r="B34" s="689"/>
      <c r="C34" s="985" t="s">
        <v>1144</v>
      </c>
      <c r="D34" s="985" t="s">
        <v>1009</v>
      </c>
      <c r="E34" s="690"/>
      <c r="F34" s="691"/>
      <c r="G34" s="691"/>
      <c r="H34" s="691"/>
      <c r="I34" s="692"/>
      <c r="J34" s="64"/>
      <c r="K34" s="2785"/>
      <c r="L34" s="116"/>
      <c r="M34" s="2828" t="s">
        <v>744</v>
      </c>
      <c r="N34" s="2828"/>
      <c r="O34" s="449">
        <v>0</v>
      </c>
      <c r="P34" s="447">
        <v>0.26</v>
      </c>
      <c r="Q34" s="448">
        <f>O34*P34</f>
        <v>0</v>
      </c>
      <c r="R34" s="125"/>
      <c r="S34" s="2823"/>
      <c r="T34" s="125"/>
      <c r="U34" s="256"/>
    </row>
    <row r="35" spans="1:21" ht="21" customHeight="1" thickBot="1">
      <c r="A35" s="2803"/>
      <c r="B35" s="693" t="s">
        <v>796</v>
      </c>
      <c r="C35" s="694"/>
      <c r="D35" s="694"/>
      <c r="E35" s="164" t="s">
        <v>601</v>
      </c>
      <c r="F35" s="695"/>
      <c r="G35" s="695"/>
      <c r="H35" s="695"/>
      <c r="I35" s="696"/>
      <c r="K35" s="2785"/>
      <c r="L35" s="116"/>
      <c r="M35" s="115"/>
      <c r="N35" s="118"/>
      <c r="O35" s="119" t="s">
        <v>607</v>
      </c>
      <c r="P35" s="120"/>
      <c r="Q35" s="118"/>
      <c r="R35" s="125"/>
      <c r="S35" s="2823"/>
      <c r="T35" s="125"/>
      <c r="U35" s="256"/>
    </row>
    <row r="36" spans="1:21" ht="21" customHeight="1" thickTop="1" thickBot="1">
      <c r="A36" s="2803"/>
      <c r="B36" s="697" t="s">
        <v>251</v>
      </c>
      <c r="C36" s="1254">
        <f>IF('Temps passé'!W29&gt;0,('Temps passé'!W29+'Frais de déplacement'!P25),'Frais de déplacement'!U25)</f>
        <v>24.119999999999997</v>
      </c>
      <c r="D36" s="698"/>
      <c r="E36" s="699"/>
      <c r="F36" s="695"/>
      <c r="G36" s="695"/>
      <c r="H36" s="695"/>
      <c r="I36" s="696"/>
      <c r="K36" s="2785"/>
      <c r="L36" s="116"/>
      <c r="M36" s="2824" t="s">
        <v>389</v>
      </c>
      <c r="N36" s="165" t="s">
        <v>172</v>
      </c>
      <c r="O36" s="166" t="s">
        <v>900</v>
      </c>
      <c r="P36" s="2788" t="s">
        <v>450</v>
      </c>
      <c r="Q36" s="2787"/>
      <c r="R36" s="125"/>
      <c r="S36" s="2823"/>
      <c r="T36" s="125"/>
      <c r="U36" s="256"/>
    </row>
    <row r="37" spans="1:21" ht="21" customHeight="1">
      <c r="A37" s="2803"/>
      <c r="B37" s="700" t="s">
        <v>1123</v>
      </c>
      <c r="C37" s="701"/>
      <c r="D37" s="1255">
        <f>C22</f>
        <v>0</v>
      </c>
      <c r="E37" s="695"/>
      <c r="F37" s="695"/>
      <c r="G37" s="695"/>
      <c r="H37" s="695"/>
      <c r="I37" s="696"/>
      <c r="K37" s="2785"/>
      <c r="L37" s="116"/>
      <c r="M37" s="2825"/>
      <c r="N37" s="244" t="s">
        <v>166</v>
      </c>
      <c r="O37" s="245">
        <v>0</v>
      </c>
      <c r="P37" s="246">
        <v>0.375</v>
      </c>
      <c r="Q37" s="247">
        <f>IF(O37&lt;3001,O37*P37,0)</f>
        <v>0</v>
      </c>
      <c r="R37" s="125"/>
      <c r="S37" s="2823"/>
      <c r="T37" s="125"/>
      <c r="U37" s="1264">
        <f>Q37*$T$26</f>
        <v>0</v>
      </c>
    </row>
    <row r="38" spans="1:21" ht="21" customHeight="1">
      <c r="A38" s="2803"/>
      <c r="B38" s="700" t="s">
        <v>1041</v>
      </c>
      <c r="C38" s="701"/>
      <c r="D38" s="1256">
        <f>D22</f>
        <v>0</v>
      </c>
      <c r="E38" s="695"/>
      <c r="F38" s="695"/>
      <c r="G38" s="702"/>
      <c r="H38" s="702"/>
      <c r="I38" s="696"/>
      <c r="K38" s="2785"/>
      <c r="L38" s="116"/>
      <c r="M38" s="2826"/>
      <c r="N38" s="248" t="s">
        <v>726</v>
      </c>
      <c r="O38" s="249">
        <v>0</v>
      </c>
      <c r="P38" s="250">
        <v>0.44400000000000001</v>
      </c>
      <c r="Q38" s="251">
        <f>IF(O38&lt;3001,O38*P38,0)</f>
        <v>0</v>
      </c>
      <c r="R38" s="125"/>
      <c r="S38" s="2823"/>
      <c r="T38" s="125"/>
      <c r="U38" s="1265">
        <f>Q38*$T$26</f>
        <v>0</v>
      </c>
    </row>
    <row r="39" spans="1:21" ht="21" customHeight="1" thickBot="1">
      <c r="A39" s="2803"/>
      <c r="B39" s="700" t="s">
        <v>853</v>
      </c>
      <c r="C39" s="701"/>
      <c r="D39" s="1257">
        <f>E22</f>
        <v>0</v>
      </c>
      <c r="E39" s="703"/>
      <c r="F39" s="702"/>
      <c r="G39" s="702"/>
      <c r="H39" s="702"/>
      <c r="I39" s="696"/>
      <c r="K39" s="2785"/>
      <c r="L39" s="386"/>
      <c r="M39" s="2826"/>
      <c r="N39" s="248" t="s">
        <v>150</v>
      </c>
      <c r="O39" s="249">
        <v>0</v>
      </c>
      <c r="P39" s="250">
        <v>0.57499999999999996</v>
      </c>
      <c r="Q39" s="251">
        <f>IF(O39&lt;3001,O39*P39,0)</f>
        <v>0</v>
      </c>
      <c r="R39" s="125"/>
      <c r="S39" s="2823"/>
      <c r="T39" s="115"/>
      <c r="U39" s="1266">
        <f>Q39*$T$26</f>
        <v>0</v>
      </c>
    </row>
    <row r="40" spans="1:21" ht="21" customHeight="1" thickTop="1" thickBot="1">
      <c r="A40" s="2803"/>
      <c r="B40" s="694"/>
      <c r="C40" s="694"/>
      <c r="D40" s="694"/>
      <c r="E40" s="1258">
        <f>SUM(D36:D44)</f>
        <v>0</v>
      </c>
      <c r="F40" s="702"/>
      <c r="G40" s="2797" t="s">
        <v>204</v>
      </c>
      <c r="H40" s="2798"/>
      <c r="I40" s="696"/>
      <c r="K40" s="2759" t="s">
        <v>886</v>
      </c>
      <c r="L40" s="2760"/>
      <c r="M40" s="2760"/>
      <c r="N40" s="2760"/>
      <c r="O40" s="2760"/>
      <c r="P40" s="2760"/>
      <c r="Q40" s="2760"/>
      <c r="R40" s="2760"/>
      <c r="S40" s="2760"/>
      <c r="T40" s="2760"/>
      <c r="U40" s="2761"/>
    </row>
    <row r="41" spans="1:21" ht="21" customHeight="1" thickTop="1">
      <c r="A41" s="2803"/>
      <c r="B41" s="693" t="s">
        <v>1042</v>
      </c>
      <c r="C41" s="704"/>
      <c r="D41" s="1255">
        <f>F22</f>
        <v>0</v>
      </c>
      <c r="E41" s="704"/>
      <c r="F41" s="702"/>
      <c r="G41" s="2799"/>
      <c r="H41" s="2800"/>
      <c r="I41" s="696"/>
    </row>
    <row r="42" spans="1:21" ht="21" customHeight="1">
      <c r="A42" s="2803"/>
      <c r="B42" s="693" t="s">
        <v>881</v>
      </c>
      <c r="C42" s="704"/>
      <c r="D42" s="1256">
        <f>G22</f>
        <v>0</v>
      </c>
      <c r="E42" s="704"/>
      <c r="F42" s="702"/>
      <c r="G42" s="2799"/>
      <c r="H42" s="2800"/>
      <c r="I42" s="696"/>
      <c r="J42" s="15"/>
      <c r="M42" s="2747" t="s">
        <v>889</v>
      </c>
      <c r="N42" s="2748"/>
      <c r="O42" s="2748"/>
      <c r="P42" s="2748"/>
      <c r="Q42" s="2748"/>
      <c r="R42" s="2749"/>
    </row>
    <row r="43" spans="1:21" ht="14" customHeight="1">
      <c r="A43" s="2803"/>
      <c r="B43" s="705" t="s">
        <v>873</v>
      </c>
      <c r="C43" s="704"/>
      <c r="D43" s="1256">
        <f>H22</f>
        <v>0</v>
      </c>
      <c r="E43" s="704"/>
      <c r="F43" s="695"/>
      <c r="G43" s="2799"/>
      <c r="H43" s="2800"/>
      <c r="I43" s="696"/>
    </row>
    <row r="44" spans="1:21" ht="22" customHeight="1">
      <c r="A44" s="2803"/>
      <c r="B44" s="700" t="s">
        <v>1033</v>
      </c>
      <c r="C44" s="704"/>
      <c r="D44" s="1257">
        <f>I22</f>
        <v>0</v>
      </c>
      <c r="E44" s="704"/>
      <c r="F44" s="695"/>
      <c r="G44" s="2799"/>
      <c r="H44" s="2800"/>
      <c r="I44" s="696"/>
      <c r="M44" s="442"/>
      <c r="N44" s="443"/>
      <c r="O44" s="444"/>
      <c r="P44" s="426">
        <v>5.5E-2</v>
      </c>
      <c r="Q44" s="1267">
        <f>O45*(1+P44)</f>
        <v>105.5</v>
      </c>
      <c r="R44" s="2750" t="s">
        <v>657</v>
      </c>
    </row>
    <row r="45" spans="1:21" ht="22" customHeight="1" thickBot="1">
      <c r="A45" s="2803"/>
      <c r="B45" s="694"/>
      <c r="C45" s="706"/>
      <c r="D45" s="694"/>
      <c r="E45" s="695"/>
      <c r="F45" s="695"/>
      <c r="G45" s="2801"/>
      <c r="H45" s="2802"/>
      <c r="I45" s="696"/>
      <c r="M45" s="2747" t="s">
        <v>591</v>
      </c>
      <c r="N45" s="2783"/>
      <c r="O45" s="425">
        <v>100</v>
      </c>
      <c r="P45" s="426">
        <v>0.1</v>
      </c>
      <c r="Q45" s="1267">
        <f>O45*(1+P45)</f>
        <v>110.00000000000001</v>
      </c>
      <c r="R45" s="2751"/>
    </row>
    <row r="46" spans="1:21" ht="22" customHeight="1" thickBot="1">
      <c r="A46" s="2803"/>
      <c r="B46" s="694"/>
      <c r="C46" s="164" t="s">
        <v>839</v>
      </c>
      <c r="D46" s="707" t="s">
        <v>1006</v>
      </c>
      <c r="E46" s="704"/>
      <c r="F46" s="695"/>
      <c r="G46" s="695"/>
      <c r="H46" s="695"/>
      <c r="I46" s="696"/>
      <c r="M46" s="445"/>
      <c r="N46" s="446"/>
      <c r="O46" s="444"/>
      <c r="P46" s="426">
        <v>0.2</v>
      </c>
      <c r="Q46" s="1267">
        <f>O45*(1+P46)</f>
        <v>120</v>
      </c>
      <c r="R46" s="2752"/>
    </row>
    <row r="47" spans="1:21" ht="22" customHeight="1" thickBot="1">
      <c r="A47" s="2803"/>
      <c r="B47" s="693" t="s">
        <v>975</v>
      </c>
      <c r="C47" s="1260">
        <f>I12</f>
        <v>0</v>
      </c>
      <c r="D47" s="708"/>
      <c r="E47" s="164" t="s">
        <v>940</v>
      </c>
      <c r="F47" s="695"/>
      <c r="G47" s="695"/>
      <c r="H47" s="695"/>
      <c r="I47" s="696"/>
      <c r="M47" s="424"/>
      <c r="N47" s="424"/>
      <c r="O47" s="423"/>
      <c r="P47" s="427"/>
      <c r="Q47" s="423"/>
    </row>
    <row r="48" spans="1:21" ht="22" customHeight="1" thickBot="1">
      <c r="A48" s="2803"/>
      <c r="B48" s="705" t="s">
        <v>929</v>
      </c>
      <c r="C48" s="709"/>
      <c r="D48" s="1255">
        <f>C31</f>
        <v>0</v>
      </c>
      <c r="E48" s="710"/>
      <c r="F48" s="695"/>
      <c r="G48" s="695"/>
      <c r="H48" s="695"/>
      <c r="I48" s="696"/>
      <c r="J48" s="335"/>
      <c r="M48" s="445"/>
      <c r="N48" s="446"/>
      <c r="O48" s="444"/>
      <c r="P48" s="426">
        <v>5.5E-2</v>
      </c>
      <c r="Q48" s="1267">
        <f>O49/(1+P48)</f>
        <v>94.786729857819907</v>
      </c>
      <c r="R48" s="2750" t="s">
        <v>880</v>
      </c>
    </row>
    <row r="49" spans="1:18" ht="22" customHeight="1" thickTop="1" thickBot="1">
      <c r="A49" s="2803"/>
      <c r="B49" s="700" t="s">
        <v>943</v>
      </c>
      <c r="C49" s="709"/>
      <c r="D49" s="1259">
        <f>D31</f>
        <v>0</v>
      </c>
      <c r="E49" s="1258">
        <f>SUM(D47:D51)+C47</f>
        <v>0</v>
      </c>
      <c r="F49" s="695"/>
      <c r="G49" s="695"/>
      <c r="H49" s="695"/>
      <c r="I49" s="696"/>
      <c r="M49" s="2747" t="s">
        <v>1004</v>
      </c>
      <c r="N49" s="2783"/>
      <c r="O49" s="425">
        <v>100</v>
      </c>
      <c r="P49" s="426">
        <v>0.1</v>
      </c>
      <c r="Q49" s="1267">
        <f>O49/(1+P49)</f>
        <v>90.909090909090907</v>
      </c>
      <c r="R49" s="2751"/>
    </row>
    <row r="50" spans="1:18" ht="22" customHeight="1" thickTop="1">
      <c r="A50" s="2803"/>
      <c r="B50" s="711" t="s">
        <v>944</v>
      </c>
      <c r="C50" s="709"/>
      <c r="D50" s="1256">
        <f>E31</f>
        <v>0</v>
      </c>
      <c r="E50" s="695"/>
      <c r="F50" s="695"/>
      <c r="G50" s="695"/>
      <c r="H50" s="695"/>
      <c r="I50" s="696"/>
      <c r="M50" s="442"/>
      <c r="N50" s="443"/>
      <c r="O50" s="444"/>
      <c r="P50" s="426">
        <v>0.2</v>
      </c>
      <c r="Q50" s="1267">
        <f>O49/(1+P50)</f>
        <v>83.333333333333343</v>
      </c>
      <c r="R50" s="2752"/>
    </row>
    <row r="51" spans="1:18" ht="22" customHeight="1">
      <c r="A51" s="2804"/>
      <c r="B51" s="712" t="s">
        <v>934</v>
      </c>
      <c r="C51" s="713"/>
      <c r="D51" s="1257">
        <f>F31</f>
        <v>0</v>
      </c>
      <c r="E51" s="714"/>
      <c r="F51" s="715"/>
      <c r="G51" s="714"/>
      <c r="H51" s="714"/>
      <c r="I51" s="716"/>
      <c r="M51" s="335"/>
      <c r="N51" s="335"/>
      <c r="O51" s="335"/>
      <c r="P51" s="335"/>
      <c r="Q51" s="335"/>
    </row>
    <row r="52" spans="1:18" ht="19" customHeight="1"/>
    <row r="53" spans="1:18" ht="22" customHeight="1"/>
    <row r="54" spans="1:18" ht="29" customHeight="1"/>
    <row r="55" spans="1:18" ht="21" customHeight="1"/>
    <row r="56" spans="1:18" ht="21" customHeight="1"/>
    <row r="57" spans="1:18" ht="21" customHeight="1"/>
    <row r="58" spans="1:18" ht="21" customHeight="1"/>
    <row r="59" spans="1:18" ht="21" customHeight="1"/>
    <row r="60" spans="1:18" ht="13" customHeight="1"/>
    <row r="61" spans="1:18" ht="21" customHeight="1"/>
    <row r="62" spans="1:18" ht="21" customHeight="1"/>
    <row r="63" spans="1:18" ht="21" customHeight="1"/>
    <row r="64" spans="1:18" ht="26" customHeight="1"/>
    <row r="65" spans="6:6" ht="21" customHeight="1"/>
    <row r="66" spans="6:6" ht="21" customHeight="1"/>
    <row r="67" spans="6:6" ht="21" customHeight="1"/>
    <row r="73" spans="6:6">
      <c r="F73" s="58"/>
    </row>
  </sheetData>
  <mergeCells count="37">
    <mergeCell ref="R4:U5"/>
    <mergeCell ref="T15:T25"/>
    <mergeCell ref="S26:S39"/>
    <mergeCell ref="M36:M39"/>
    <mergeCell ref="M26:M31"/>
    <mergeCell ref="M34:N34"/>
    <mergeCell ref="M33:Q33"/>
    <mergeCell ref="K4:O5"/>
    <mergeCell ref="Q4:Q5"/>
    <mergeCell ref="B8:C8"/>
    <mergeCell ref="F33:I33"/>
    <mergeCell ref="G40:H45"/>
    <mergeCell ref="A33:A51"/>
    <mergeCell ref="A3:A9"/>
    <mergeCell ref="B6:C6"/>
    <mergeCell ref="D3:I3"/>
    <mergeCell ref="B7:C7"/>
    <mergeCell ref="B5:C5"/>
    <mergeCell ref="B14:B21"/>
    <mergeCell ref="A14:A31"/>
    <mergeCell ref="B23:B30"/>
    <mergeCell ref="K2:U3"/>
    <mergeCell ref="M42:R42"/>
    <mergeCell ref="R44:R46"/>
    <mergeCell ref="R48:R50"/>
    <mergeCell ref="K12:U13"/>
    <mergeCell ref="K40:U40"/>
    <mergeCell ref="K7:U9"/>
    <mergeCell ref="U15:U24"/>
    <mergeCell ref="M16:Q22"/>
    <mergeCell ref="M45:N45"/>
    <mergeCell ref="M49:N49"/>
    <mergeCell ref="K26:K39"/>
    <mergeCell ref="P26:Q26"/>
    <mergeCell ref="P36:Q36"/>
    <mergeCell ref="L14:U14"/>
    <mergeCell ref="P4:P5"/>
  </mergeCells>
  <phoneticPr fontId="50" type="noConversion"/>
  <conditionalFormatting sqref="O27:O31 O34 O37:O39 P4 D5:D8">
    <cfRule type="cellIs" dxfId="45" priority="0" stopIfTrue="1" operator="greaterThan">
      <formula>0</formula>
    </cfRule>
  </conditionalFormatting>
  <printOptions horizontalCentered="1" verticalCentered="1"/>
  <pageMargins left="1.1400000000000001" right="0.70000000000000007" top="0.75000000000000011" bottom="0.75000000000000011" header="0.51" footer="0.51"/>
  <pageSetup paperSize="10" scale="33" orientation="landscape" horizontalDpi="4294967292" verticalDpi="4294967292"/>
  <headerFooter>
    <oddHeader>&amp;C&amp;"Arial,Gras"&amp;18FRAIS DE DEPLACEMENT</oddHeader>
    <oddFooter xml:space="preserve">&amp;C ©/2017/2019 eric delamarre - Document GPLA </oddFooter>
  </headerFooter>
  <ignoredErrors>
    <ignoredError sqref="D9 C22:I22 C31:F31" emptyCellReference="1"/>
  </ignoredErrors>
  <drawing r:id="rId1"/>
  <extLst>
    <ext xmlns:mx="http://schemas.microsoft.com/office/mac/excel/2008/main" uri="http://schemas.microsoft.com/office/mac/excel/2008/main">
      <mx:PLV Mode="1"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T44"/>
  <sheetViews>
    <sheetView showGridLines="0" view="pageLayout" workbookViewId="0">
      <selection activeCell="E16" sqref="E16"/>
    </sheetView>
  </sheetViews>
  <sheetFormatPr baseColWidth="10" defaultRowHeight="15"/>
  <cols>
    <col min="1" max="1" width="7.5" style="1" customWidth="1"/>
    <col min="2" max="2" width="34.5" style="1" customWidth="1"/>
    <col min="3" max="3" width="15.125" style="1" customWidth="1"/>
    <col min="4" max="4" width="15.5" style="7" customWidth="1"/>
    <col min="5" max="5" width="15.25" style="2" customWidth="1"/>
    <col min="6" max="6" width="15" style="2" customWidth="1"/>
    <col min="7" max="7" width="14.5" style="2" customWidth="1"/>
    <col min="8" max="8" width="9.5" style="2" customWidth="1"/>
    <col min="9" max="9" width="13.5" style="8" customWidth="1"/>
    <col min="10" max="10" width="15.625" style="2" customWidth="1"/>
    <col min="11" max="11" width="15.25" style="8" customWidth="1"/>
    <col min="12" max="12" width="3.625" style="8" customWidth="1"/>
    <col min="13" max="13" width="13.5" style="2" customWidth="1"/>
    <col min="14" max="14" width="16.25" style="2" customWidth="1"/>
    <col min="15" max="15" width="20.125" style="2" customWidth="1"/>
    <col min="16" max="16" width="16.25" style="2" customWidth="1"/>
    <col min="17" max="17" width="14" style="2" customWidth="1"/>
    <col min="18" max="18" width="11.125" style="8" customWidth="1"/>
    <col min="19" max="19" width="12.75" style="2" customWidth="1"/>
    <col min="20" max="20" width="5.5" style="8" customWidth="1"/>
    <col min="21" max="16384" width="10.625" style="1"/>
  </cols>
  <sheetData>
    <row r="1" spans="2:20" ht="45" customHeight="1">
      <c r="B1" s="2870" t="s">
        <v>1113</v>
      </c>
      <c r="C1" s="2871"/>
      <c r="D1" s="2871"/>
      <c r="E1" s="2871"/>
      <c r="F1" s="2871"/>
      <c r="G1" s="2871"/>
      <c r="H1" s="2871"/>
      <c r="I1" s="2871"/>
      <c r="J1" s="2871"/>
      <c r="K1" s="2872"/>
      <c r="L1" s="382"/>
    </row>
    <row r="2" spans="2:20" s="3" customFormat="1" ht="13" customHeight="1">
      <c r="B2" s="2228"/>
      <c r="C2" s="2228"/>
      <c r="D2" s="2229"/>
      <c r="E2" s="2229"/>
      <c r="F2" s="2229"/>
      <c r="G2" s="2229"/>
      <c r="H2" s="2229"/>
      <c r="I2" s="2229"/>
      <c r="J2" s="2229"/>
      <c r="K2" s="2229"/>
      <c r="L2" s="68"/>
      <c r="M2" s="4"/>
      <c r="N2" s="4"/>
      <c r="O2" s="4"/>
      <c r="P2" s="4"/>
      <c r="Q2" s="4"/>
      <c r="R2" s="68"/>
      <c r="S2" s="4"/>
      <c r="T2" s="68"/>
    </row>
    <row r="3" spans="2:20" s="3" customFormat="1" ht="19" customHeight="1">
      <c r="B3" s="203"/>
      <c r="C3" s="397" t="s">
        <v>431</v>
      </c>
      <c r="D3" s="397" t="s">
        <v>247</v>
      </c>
      <c r="E3" s="397" t="s">
        <v>1114</v>
      </c>
      <c r="F3" s="397" t="s">
        <v>247</v>
      </c>
      <c r="G3" s="201"/>
      <c r="H3" s="201"/>
      <c r="I3" s="201"/>
      <c r="J3" s="201"/>
      <c r="K3" s="201"/>
      <c r="L3" s="68"/>
      <c r="M3" s="4"/>
      <c r="N3" s="4"/>
      <c r="O3" s="4"/>
      <c r="P3" s="4"/>
      <c r="Q3" s="4"/>
      <c r="R3" s="68"/>
      <c r="S3" s="4"/>
      <c r="T3" s="68"/>
    </row>
    <row r="4" spans="2:20" s="3" customFormat="1" ht="21" customHeight="1">
      <c r="B4" s="203"/>
      <c r="C4" s="1324" t="s">
        <v>228</v>
      </c>
      <c r="D4" s="1328">
        <f>'Temps passé'!G6</f>
        <v>0.2</v>
      </c>
      <c r="E4" s="1324" t="s">
        <v>823</v>
      </c>
      <c r="F4" s="1330">
        <v>0.5</v>
      </c>
      <c r="G4" s="201"/>
      <c r="H4" s="201"/>
      <c r="I4" s="201"/>
      <c r="L4" s="68"/>
      <c r="M4" s="4"/>
      <c r="N4" s="4"/>
      <c r="O4" s="4"/>
      <c r="P4" s="4"/>
      <c r="Q4" s="4"/>
      <c r="R4" s="68"/>
      <c r="S4" s="4"/>
      <c r="T4" s="68"/>
    </row>
    <row r="5" spans="2:20" s="3" customFormat="1" ht="21" customHeight="1">
      <c r="B5" s="203"/>
      <c r="C5" s="1324" t="s">
        <v>90</v>
      </c>
      <c r="D5" s="1329">
        <f>'Temps passé'!G7</f>
        <v>0.35</v>
      </c>
      <c r="E5" s="1324" t="s">
        <v>685</v>
      </c>
      <c r="F5" s="1330">
        <f>'Temps passé'!G9</f>
        <v>0.6</v>
      </c>
      <c r="G5" s="201"/>
      <c r="H5" s="201"/>
      <c r="L5" s="68"/>
      <c r="M5" s="4"/>
      <c r="N5" s="4"/>
      <c r="O5" s="4"/>
      <c r="P5" s="4"/>
      <c r="Q5" s="4"/>
      <c r="R5" s="68"/>
      <c r="S5" s="4"/>
      <c r="T5" s="68"/>
    </row>
    <row r="6" spans="2:20" s="3" customFormat="1" ht="21" customHeight="1">
      <c r="B6" s="203"/>
      <c r="C6" s="897"/>
      <c r="D6" s="898"/>
      <c r="E6" s="1324" t="s">
        <v>519</v>
      </c>
      <c r="F6" s="1331">
        <f>'Temps passé'!G10</f>
        <v>1</v>
      </c>
      <c r="G6" s="201"/>
      <c r="H6" s="2836" t="s">
        <v>179</v>
      </c>
      <c r="I6" s="2841" t="s">
        <v>501</v>
      </c>
      <c r="J6" s="2842"/>
      <c r="K6" s="2843"/>
      <c r="L6" s="68"/>
      <c r="M6" s="4"/>
      <c r="N6" s="4"/>
      <c r="O6" s="4"/>
      <c r="P6" s="4"/>
      <c r="Q6" s="4"/>
      <c r="R6" s="68"/>
      <c r="S6" s="4"/>
      <c r="T6" s="68"/>
    </row>
    <row r="7" spans="2:20" s="3" customFormat="1" ht="21" customHeight="1">
      <c r="B7" s="203"/>
      <c r="D7" s="487"/>
      <c r="E7" s="201"/>
      <c r="F7" s="201"/>
      <c r="G7" s="201"/>
      <c r="H7" s="2837"/>
      <c r="I7" s="2844"/>
      <c r="J7" s="2845"/>
      <c r="K7" s="2846"/>
      <c r="L7" s="68"/>
      <c r="M7" s="4"/>
      <c r="N7" s="4"/>
      <c r="O7" s="4"/>
      <c r="P7" s="4"/>
      <c r="Q7" s="4"/>
      <c r="R7" s="68"/>
      <c r="S7" s="4"/>
      <c r="T7" s="68"/>
    </row>
    <row r="8" spans="2:20" s="3" customFormat="1" ht="23" customHeight="1">
      <c r="B8" s="2290" t="s">
        <v>284</v>
      </c>
      <c r="C8" s="2877"/>
      <c r="D8" s="2839" t="s">
        <v>136</v>
      </c>
      <c r="E8" s="2878" t="s">
        <v>1026</v>
      </c>
      <c r="F8" s="2660"/>
      <c r="G8" s="2879"/>
      <c r="H8" s="2837"/>
      <c r="I8" s="2844"/>
      <c r="J8" s="2845"/>
      <c r="K8" s="2846"/>
      <c r="L8" s="68"/>
      <c r="M8" s="4"/>
      <c r="N8" s="4"/>
      <c r="O8" s="4"/>
      <c r="P8" s="4"/>
      <c r="Q8" s="4"/>
      <c r="R8" s="68"/>
      <c r="S8" s="4"/>
      <c r="T8" s="68"/>
    </row>
    <row r="9" spans="2:20" s="3" customFormat="1" ht="21" customHeight="1">
      <c r="B9" s="458" t="s">
        <v>809</v>
      </c>
      <c r="C9" s="454"/>
      <c r="D9" s="2840"/>
      <c r="E9" s="822" t="s">
        <v>1097</v>
      </c>
      <c r="F9" s="822" t="s">
        <v>939</v>
      </c>
      <c r="G9" s="823" t="s">
        <v>1011</v>
      </c>
      <c r="H9" s="2837"/>
      <c r="I9" s="2844"/>
      <c r="J9" s="2845"/>
      <c r="K9" s="2846"/>
      <c r="L9" s="68"/>
      <c r="M9" s="4"/>
      <c r="N9" s="4"/>
      <c r="O9" s="4"/>
      <c r="P9" s="4"/>
      <c r="Q9" s="4"/>
      <c r="R9" s="68"/>
      <c r="S9" s="4"/>
      <c r="T9" s="68"/>
    </row>
    <row r="10" spans="2:20" s="3" customFormat="1" ht="21" customHeight="1">
      <c r="B10" s="206" t="s">
        <v>235</v>
      </c>
      <c r="C10" s="208" t="s">
        <v>1014</v>
      </c>
      <c r="D10" s="207" t="s">
        <v>355</v>
      </c>
      <c r="E10" s="60" t="s">
        <v>1087</v>
      </c>
      <c r="F10" s="60" t="s">
        <v>855</v>
      </c>
      <c r="G10" s="484" t="s">
        <v>233</v>
      </c>
      <c r="H10" s="2838"/>
      <c r="I10" s="2847"/>
      <c r="J10" s="2848"/>
      <c r="K10" s="2849"/>
      <c r="L10" s="68"/>
      <c r="M10" s="4"/>
      <c r="N10" s="4"/>
      <c r="O10" s="4"/>
      <c r="P10" s="4"/>
      <c r="Q10" s="4"/>
      <c r="R10" s="68"/>
      <c r="S10" s="4"/>
      <c r="T10" s="68"/>
    </row>
    <row r="11" spans="2:20" s="3" customFormat="1" ht="21" customHeight="1">
      <c r="B11" s="205" t="str">
        <f>B10 &amp; " (1)"</f>
        <v>Assistance technique (1)</v>
      </c>
      <c r="C11" s="946">
        <v>0</v>
      </c>
      <c r="D11" s="947">
        <v>0</v>
      </c>
      <c r="E11" s="948"/>
      <c r="F11" s="948"/>
      <c r="G11" s="948"/>
      <c r="H11" s="436">
        <v>25</v>
      </c>
      <c r="I11" s="1332" t="str">
        <f>IF(E11="x","Salaire (Coût total)",IF(F11="x","Salaire (Coût total)",IF(G11="x","Honoraires","")))</f>
        <v/>
      </c>
      <c r="J11" s="1333">
        <f>IF(E11="x",C11*2+H11,IF(F11="x",C11*1.5+H11,IF(G11="x",C11,0)))*D11</f>
        <v>0</v>
      </c>
      <c r="K11" s="2875">
        <f>SUM(J11:J12)</f>
        <v>0</v>
      </c>
      <c r="L11" s="68"/>
      <c r="M11" s="4"/>
      <c r="N11" s="4"/>
      <c r="O11" s="4"/>
      <c r="P11" s="4"/>
      <c r="Q11" s="4"/>
      <c r="R11" s="68"/>
      <c r="S11" s="4"/>
      <c r="T11" s="68"/>
    </row>
    <row r="12" spans="2:20" s="3" customFormat="1" ht="21" customHeight="1">
      <c r="B12" s="204" t="str">
        <f>B10&amp; " (2)"</f>
        <v>Assistance technique (2)</v>
      </c>
      <c r="C12" s="946">
        <v>0</v>
      </c>
      <c r="D12" s="947">
        <v>0</v>
      </c>
      <c r="E12" s="948"/>
      <c r="F12" s="948"/>
      <c r="G12" s="948"/>
      <c r="H12" s="1334">
        <f>H11</f>
        <v>25</v>
      </c>
      <c r="I12" s="1332" t="str">
        <f>IF(E12="x","et Salaire (Coût total)",IF(F12="x","et Salaire (Coût total)",IF(G12="x","et Honoraires","")))</f>
        <v/>
      </c>
      <c r="J12" s="1333">
        <f>IF(E12="x",C12*2+H12,IF(F12="x",C12*1.5+H12,IF(G12="x",C12,0)))*D12</f>
        <v>0</v>
      </c>
      <c r="K12" s="2876"/>
      <c r="L12" s="68"/>
      <c r="M12" s="4"/>
      <c r="N12" s="4"/>
      <c r="O12" s="4"/>
      <c r="P12" s="4"/>
      <c r="Q12" s="4"/>
      <c r="R12" s="68"/>
      <c r="S12" s="4"/>
      <c r="T12" s="68"/>
    </row>
    <row r="13" spans="2:20" s="3" customFormat="1" ht="21" customHeight="1">
      <c r="B13" s="458" t="s">
        <v>836</v>
      </c>
      <c r="C13" s="450"/>
      <c r="D13" s="489" t="s">
        <v>606</v>
      </c>
      <c r="E13" s="450"/>
      <c r="F13" s="450"/>
      <c r="G13" s="450"/>
      <c r="H13" s="455"/>
      <c r="I13" s="450"/>
      <c r="J13" s="456" t="str">
        <f>B10</f>
        <v>Assistance technique</v>
      </c>
      <c r="K13" s="462" t="s">
        <v>601</v>
      </c>
      <c r="L13" s="68"/>
      <c r="M13" s="4"/>
      <c r="N13" s="4"/>
      <c r="O13" s="4"/>
      <c r="P13" s="4"/>
      <c r="Q13" s="4"/>
      <c r="R13" s="68"/>
      <c r="S13" s="4"/>
      <c r="T13" s="68"/>
    </row>
    <row r="14" spans="2:20" s="3" customFormat="1" ht="21" customHeight="1">
      <c r="B14" s="206" t="s">
        <v>1150</v>
      </c>
      <c r="C14" s="208" t="s">
        <v>1014</v>
      </c>
      <c r="D14" s="207" t="s">
        <v>355</v>
      </c>
      <c r="E14" s="60" t="s">
        <v>1087</v>
      </c>
      <c r="F14" s="60" t="s">
        <v>855</v>
      </c>
      <c r="G14" s="60" t="s">
        <v>233</v>
      </c>
      <c r="H14" s="457"/>
      <c r="I14" s="454"/>
      <c r="J14" s="454"/>
      <c r="K14" s="460"/>
      <c r="L14" s="68"/>
      <c r="M14" s="4"/>
      <c r="N14" s="4"/>
      <c r="O14" s="4"/>
      <c r="P14" s="4"/>
      <c r="Q14" s="4"/>
      <c r="R14" s="68"/>
      <c r="S14" s="4"/>
      <c r="T14" s="68"/>
    </row>
    <row r="15" spans="2:20" s="3" customFormat="1" ht="21" customHeight="1">
      <c r="B15" s="205" t="str">
        <f>B14 &amp; " (1)"</f>
        <v>Styliste - Accessoiriste (1)</v>
      </c>
      <c r="C15" s="946">
        <v>0</v>
      </c>
      <c r="D15" s="947">
        <v>0</v>
      </c>
      <c r="E15" s="948"/>
      <c r="F15" s="948"/>
      <c r="G15" s="948"/>
      <c r="H15" s="1334">
        <f>H11</f>
        <v>25</v>
      </c>
      <c r="I15" s="1332" t="str">
        <f>IF(E15="x","Salaire (Coût total)",IF(F15="x","Salaire (Coût total)",IF(G15="x","Honoraires","")))</f>
        <v/>
      </c>
      <c r="J15" s="1333">
        <f>IF(E15="x",C15*2+H15,IF(F15="x",C15*1.5+H15,IF(G15="x",C15,0)))*D15</f>
        <v>0</v>
      </c>
      <c r="K15" s="2875">
        <f>SUM(J15:J16)</f>
        <v>0</v>
      </c>
      <c r="L15" s="68"/>
      <c r="M15" s="4"/>
      <c r="N15" s="4"/>
      <c r="O15" s="4"/>
      <c r="P15" s="4"/>
      <c r="Q15" s="4"/>
      <c r="R15" s="68"/>
      <c r="S15" s="4"/>
      <c r="T15" s="68"/>
    </row>
    <row r="16" spans="2:20" s="3" customFormat="1" ht="21" customHeight="1">
      <c r="B16" s="204" t="str">
        <f>B14&amp; " (2)"</f>
        <v>Styliste - Accessoiriste (2)</v>
      </c>
      <c r="C16" s="946">
        <v>0</v>
      </c>
      <c r="D16" s="947">
        <v>0</v>
      </c>
      <c r="E16" s="948"/>
      <c r="F16" s="948"/>
      <c r="G16" s="948"/>
      <c r="H16" s="1334">
        <f>H11</f>
        <v>25</v>
      </c>
      <c r="I16" s="1332" t="str">
        <f>IF(E16="x","et Salaire(Coût total)",IF(F16="x","et Salaire (Coût total)",IF(G16="x","et Honoraires","")))</f>
        <v/>
      </c>
      <c r="J16" s="1333">
        <f>IF(E16="x",C16*2+H16,IF(F16="x",C16*1.5+H16,IF(G16="x",C16,0)))*D16</f>
        <v>0</v>
      </c>
      <c r="K16" s="2876"/>
      <c r="L16" s="68"/>
      <c r="M16" s="4"/>
      <c r="N16" s="4"/>
      <c r="O16" s="4"/>
      <c r="P16" s="4"/>
      <c r="Q16" s="4"/>
      <c r="R16" s="68"/>
      <c r="S16" s="4"/>
      <c r="T16" s="68"/>
    </row>
    <row r="17" spans="2:20" s="3" customFormat="1" ht="21" customHeight="1">
      <c r="B17" s="458" t="s">
        <v>596</v>
      </c>
      <c r="C17" s="450"/>
      <c r="D17" s="489" t="s">
        <v>1047</v>
      </c>
      <c r="E17" s="450"/>
      <c r="F17" s="450"/>
      <c r="G17" s="450"/>
      <c r="H17" s="455"/>
      <c r="I17" s="450"/>
      <c r="J17" s="456" t="str">
        <f>B14</f>
        <v>Styliste - Accessoiriste</v>
      </c>
      <c r="K17" s="462" t="s">
        <v>466</v>
      </c>
      <c r="L17" s="68"/>
      <c r="M17" s="4"/>
      <c r="N17" s="4"/>
      <c r="O17" s="4"/>
      <c r="P17" s="4"/>
      <c r="Q17" s="4"/>
      <c r="R17" s="68"/>
      <c r="S17" s="4"/>
      <c r="T17" s="68"/>
    </row>
    <row r="18" spans="2:20" s="3" customFormat="1" ht="21" customHeight="1">
      <c r="B18" s="818" t="s">
        <v>1184</v>
      </c>
      <c r="C18" s="208" t="s">
        <v>1142</v>
      </c>
      <c r="D18" s="207" t="s">
        <v>355</v>
      </c>
      <c r="E18" s="60" t="s">
        <v>1087</v>
      </c>
      <c r="F18" s="60" t="s">
        <v>855</v>
      </c>
      <c r="G18" s="60" t="s">
        <v>233</v>
      </c>
      <c r="H18" s="457"/>
      <c r="I18" s="450"/>
      <c r="J18" s="450"/>
      <c r="K18" s="461"/>
      <c r="L18" s="68"/>
      <c r="M18" s="4"/>
      <c r="N18" s="4"/>
      <c r="O18" s="4"/>
      <c r="P18" s="4"/>
      <c r="Q18" s="4"/>
      <c r="R18" s="68"/>
      <c r="S18" s="4"/>
      <c r="T18" s="68"/>
    </row>
    <row r="19" spans="2:20" s="3" customFormat="1" ht="21" customHeight="1">
      <c r="B19" s="205" t="str">
        <f>B18 &amp; " (1)"</f>
        <v>Maquillage / coiffeur (1)</v>
      </c>
      <c r="C19" s="946">
        <v>0</v>
      </c>
      <c r="D19" s="947">
        <v>0</v>
      </c>
      <c r="E19" s="949"/>
      <c r="F19" s="949"/>
      <c r="G19" s="949"/>
      <c r="H19" s="1335">
        <f>H11</f>
        <v>25</v>
      </c>
      <c r="I19" s="1332" t="str">
        <f>IF(E19="x","Salaire (Coût total)",IF(F19="x","Salaire (Coût total)",IF(G19="x","Honoraires","")))</f>
        <v/>
      </c>
      <c r="J19" s="1333">
        <f>IF(E19="x",C19*2+H19,IF(F19="x",C19*1.5+H19,IF(G19="x",C19,0)))*D19</f>
        <v>0</v>
      </c>
      <c r="K19" s="2875">
        <f>SUM(J19:J20)</f>
        <v>0</v>
      </c>
      <c r="L19" s="68"/>
      <c r="M19" s="4"/>
      <c r="N19" s="4"/>
      <c r="O19" s="4"/>
      <c r="P19" s="4"/>
      <c r="Q19" s="4"/>
      <c r="R19" s="68"/>
      <c r="S19" s="4"/>
      <c r="T19" s="68"/>
    </row>
    <row r="20" spans="2:20" s="3" customFormat="1" ht="21" customHeight="1">
      <c r="B20" s="204" t="str">
        <f>B18&amp; " (2)"</f>
        <v>Maquillage / coiffeur (2)</v>
      </c>
      <c r="C20" s="946">
        <v>0</v>
      </c>
      <c r="D20" s="947">
        <v>0</v>
      </c>
      <c r="E20" s="949"/>
      <c r="F20" s="949"/>
      <c r="G20" s="949"/>
      <c r="H20" s="1335">
        <f>H11</f>
        <v>25</v>
      </c>
      <c r="I20" s="1332" t="str">
        <f>IF(E20="x","et Salaire(Coût total)",IF(F20="x","et Salaire (Coût total)",IF(G20="x","et Honoraires","")))</f>
        <v/>
      </c>
      <c r="J20" s="1333">
        <f>IF(E20="x",C20*2+H20,IF(F20="x",C20*1.5+H20,IF(G20="x",C20,0)))*D20</f>
        <v>0</v>
      </c>
      <c r="K20" s="2876"/>
      <c r="L20" s="68"/>
      <c r="M20" s="4"/>
      <c r="N20" s="4"/>
      <c r="O20" s="4"/>
      <c r="P20" s="4"/>
      <c r="Q20" s="4"/>
      <c r="R20" s="68"/>
      <c r="S20" s="4"/>
      <c r="T20" s="68"/>
    </row>
    <row r="21" spans="2:20" s="3" customFormat="1" ht="21" customHeight="1">
      <c r="B21" s="404"/>
      <c r="C21" s="405"/>
      <c r="D21" s="488" t="s">
        <v>1047</v>
      </c>
      <c r="E21" s="405"/>
      <c r="F21" s="405"/>
      <c r="G21" s="405"/>
      <c r="H21" s="405"/>
      <c r="I21" s="405"/>
      <c r="J21" s="459" t="str">
        <f>B18</f>
        <v>Maquillage / coiffeur</v>
      </c>
      <c r="K21" s="463" t="s">
        <v>601</v>
      </c>
      <c r="L21" s="68"/>
      <c r="M21" s="4"/>
      <c r="N21" s="4"/>
      <c r="O21" s="4"/>
      <c r="P21" s="4"/>
      <c r="Q21" s="4"/>
      <c r="R21" s="68"/>
      <c r="S21" s="4"/>
      <c r="T21" s="68"/>
    </row>
    <row r="22" spans="2:20" s="3" customFormat="1" ht="21" customHeight="1" thickBot="1">
      <c r="B22"/>
      <c r="C22"/>
      <c r="D22"/>
      <c r="E22"/>
      <c r="F22"/>
      <c r="G22"/>
      <c r="H22"/>
      <c r="I22"/>
      <c r="J22"/>
      <c r="K22"/>
      <c r="L22" s="68"/>
      <c r="M22" s="4"/>
      <c r="N22" s="4"/>
      <c r="O22" s="4"/>
      <c r="P22" s="4"/>
      <c r="Q22" s="4"/>
      <c r="R22" s="68"/>
      <c r="S22" s="4"/>
      <c r="T22" s="68"/>
    </row>
    <row r="23" spans="2:20" s="3" customFormat="1" ht="21" customHeight="1" thickBot="1">
      <c r="B23" s="2293" t="s">
        <v>437</v>
      </c>
      <c r="C23" s="2873"/>
      <c r="D23" s="473">
        <f>SUM(J25:J31)</f>
        <v>0</v>
      </c>
      <c r="E23" s="903"/>
      <c r="F23" s="904"/>
      <c r="G23" s="904"/>
      <c r="H23" s="904"/>
      <c r="I23" s="901"/>
      <c r="J23" s="398" t="s">
        <v>1003</v>
      </c>
      <c r="K23"/>
      <c r="L23" s="68"/>
      <c r="M23" s="4"/>
      <c r="N23" s="4"/>
      <c r="O23" s="4"/>
      <c r="P23" s="4"/>
      <c r="Q23" s="4"/>
      <c r="R23" s="68"/>
      <c r="S23" s="4"/>
      <c r="T23" s="68"/>
    </row>
    <row r="24" spans="2:20" s="3" customFormat="1" ht="16" customHeight="1">
      <c r="B24" s="464"/>
      <c r="C24" s="469"/>
      <c r="D24" s="469"/>
      <c r="E24" s="469"/>
      <c r="F24" s="469"/>
      <c r="G24" s="469"/>
      <c r="H24" s="471"/>
      <c r="I24" s="469"/>
      <c r="J24" s="468"/>
      <c r="K24"/>
      <c r="L24" s="68"/>
      <c r="M24" s="4"/>
      <c r="N24" s="4"/>
      <c r="O24" s="4"/>
      <c r="P24" s="4"/>
      <c r="Q24" s="4"/>
      <c r="R24" s="68"/>
      <c r="S24" s="4"/>
      <c r="T24" s="68"/>
    </row>
    <row r="25" spans="2:20" s="3" customFormat="1" ht="21" customHeight="1">
      <c r="B25" s="2834" t="s">
        <v>1164</v>
      </c>
      <c r="C25" s="2835"/>
      <c r="D25" s="950">
        <v>0</v>
      </c>
      <c r="E25" s="951">
        <v>0</v>
      </c>
      <c r="F25" s="951">
        <v>0</v>
      </c>
      <c r="G25" s="1325">
        <f>'Liste frais'!F41</f>
        <v>0</v>
      </c>
      <c r="H25" s="2880" t="str">
        <f>B25</f>
        <v>Frais (Accessoires, stylisme,…)</v>
      </c>
      <c r="I25" s="2881"/>
      <c r="J25" s="348">
        <f>SUM(D25:G25)</f>
        <v>0</v>
      </c>
      <c r="L25" s="68"/>
      <c r="M25" s="4"/>
      <c r="N25" s="4"/>
      <c r="O25" s="4"/>
      <c r="P25" s="4"/>
      <c r="Q25" s="4"/>
      <c r="R25" s="68"/>
      <c r="S25" s="4"/>
      <c r="T25" s="68"/>
    </row>
    <row r="26" spans="2:20" s="3" customFormat="1" ht="21" customHeight="1">
      <c r="B26" s="402"/>
      <c r="C26" s="125"/>
      <c r="D26" s="125"/>
      <c r="E26" s="125"/>
      <c r="F26" s="125"/>
      <c r="G26" s="490" t="s">
        <v>676</v>
      </c>
      <c r="H26" s="451"/>
      <c r="I26" s="452"/>
      <c r="J26" s="497"/>
      <c r="K26" s="214"/>
      <c r="L26" s="68"/>
      <c r="M26" s="4"/>
      <c r="N26" s="4"/>
      <c r="O26" s="4"/>
      <c r="P26" s="4"/>
      <c r="Q26" s="4"/>
      <c r="R26" s="68"/>
      <c r="S26" s="4"/>
      <c r="T26" s="68"/>
    </row>
    <row r="27" spans="2:20" s="3" customFormat="1" ht="21" customHeight="1">
      <c r="B27" s="2834" t="s">
        <v>1165</v>
      </c>
      <c r="C27" s="2835"/>
      <c r="D27" s="950">
        <v>0</v>
      </c>
      <c r="E27" s="950">
        <v>0</v>
      </c>
      <c r="F27" s="950">
        <v>0</v>
      </c>
      <c r="G27" s="1326">
        <f>'Evaluation loc. studio'!L20</f>
        <v>0</v>
      </c>
      <c r="H27" s="2880" t="str">
        <f>B27</f>
        <v>Location de studio et option[s]</v>
      </c>
      <c r="I27" s="2881"/>
      <c r="J27" s="348">
        <f>SUM(D27:G27)</f>
        <v>0</v>
      </c>
      <c r="L27" s="68"/>
      <c r="M27" s="4"/>
      <c r="N27" s="4"/>
      <c r="O27" s="4"/>
      <c r="P27" s="4"/>
      <c r="Q27" s="4"/>
      <c r="R27" s="68"/>
      <c r="S27" s="4"/>
      <c r="T27" s="68"/>
    </row>
    <row r="28" spans="2:20" s="3" customFormat="1" ht="21" customHeight="1">
      <c r="B28" s="402"/>
      <c r="C28" s="125"/>
      <c r="D28" s="125"/>
      <c r="E28" s="125"/>
      <c r="F28" s="125"/>
      <c r="G28" s="490" t="s">
        <v>599</v>
      </c>
      <c r="H28" s="451"/>
      <c r="I28" s="452"/>
      <c r="J28" s="497"/>
      <c r="K28" s="209"/>
      <c r="L28" s="211"/>
      <c r="M28" s="4"/>
      <c r="N28" s="4"/>
      <c r="O28" s="4"/>
      <c r="P28" s="4"/>
      <c r="Q28" s="4"/>
      <c r="R28" s="68"/>
      <c r="S28" s="4"/>
      <c r="T28" s="68"/>
    </row>
    <row r="29" spans="2:20" s="3" customFormat="1" ht="21" customHeight="1">
      <c r="B29" s="2874" t="s">
        <v>654</v>
      </c>
      <c r="C29" s="2835"/>
      <c r="D29" s="950">
        <v>0</v>
      </c>
      <c r="E29" s="951">
        <v>0</v>
      </c>
      <c r="F29" s="951">
        <v>0</v>
      </c>
      <c r="G29" s="951">
        <v>0</v>
      </c>
      <c r="H29" s="2880" t="str">
        <f>B29</f>
        <v>Location de matériel technique</v>
      </c>
      <c r="I29" s="2881"/>
      <c r="J29" s="348">
        <f>SUM(D29:G29)</f>
        <v>0</v>
      </c>
      <c r="L29" s="211"/>
      <c r="M29" s="4"/>
      <c r="N29" s="4"/>
      <c r="O29" s="4"/>
      <c r="P29" s="4"/>
      <c r="Q29" s="4"/>
      <c r="R29" s="68"/>
      <c r="S29" s="4"/>
      <c r="T29" s="68"/>
    </row>
    <row r="30" spans="2:20" ht="20" customHeight="1">
      <c r="B30" s="402"/>
      <c r="C30" s="125"/>
      <c r="D30" s="125"/>
      <c r="E30" s="125"/>
      <c r="F30" s="125"/>
      <c r="G30" s="125"/>
      <c r="H30" s="125"/>
      <c r="I30" s="453"/>
      <c r="J30" s="497"/>
      <c r="K30" s="214"/>
      <c r="L30" s="212"/>
      <c r="N30"/>
      <c r="O30" s="13"/>
    </row>
    <row r="31" spans="2:20" ht="21" customHeight="1">
      <c r="B31" s="2834" t="s">
        <v>1174</v>
      </c>
      <c r="C31" s="2835"/>
      <c r="D31" s="950">
        <v>0</v>
      </c>
      <c r="E31" s="950">
        <v>0</v>
      </c>
      <c r="F31" s="951">
        <v>0</v>
      </c>
      <c r="G31" s="1325">
        <f>'Liste frais'!F61</f>
        <v>0</v>
      </c>
      <c r="H31" s="2868" t="str">
        <f>B31</f>
        <v>Labo, autres frais divers,…</v>
      </c>
      <c r="I31" s="2869"/>
      <c r="J31" s="348">
        <f>SUM(D31:G31)</f>
        <v>0</v>
      </c>
      <c r="L31" s="212"/>
      <c r="N31"/>
      <c r="O31" s="13"/>
    </row>
    <row r="32" spans="2:20" s="50" customFormat="1" ht="21" customHeight="1">
      <c r="B32" s="472"/>
      <c r="C32" s="466"/>
      <c r="D32" s="466"/>
      <c r="E32" s="466"/>
      <c r="F32" s="466"/>
      <c r="G32" s="670" t="s">
        <v>518</v>
      </c>
      <c r="H32" s="470"/>
      <c r="I32" s="405"/>
      <c r="J32" s="468"/>
      <c r="K32" s="210"/>
      <c r="L32" s="213"/>
      <c r="N32"/>
      <c r="O32" s="53"/>
      <c r="P32" s="52"/>
      <c r="Q32" s="52"/>
      <c r="R32" s="51"/>
      <c r="S32" s="52"/>
      <c r="T32" s="51"/>
    </row>
    <row r="33" spans="2:20" ht="30" customHeight="1">
      <c r="B33" s="902"/>
      <c r="C33" s="899"/>
      <c r="D33" s="899"/>
      <c r="E33" s="900"/>
      <c r="F33" s="901"/>
      <c r="G33" s="2859" t="s">
        <v>257</v>
      </c>
      <c r="H33" s="2860"/>
      <c r="I33" s="2861"/>
      <c r="J33" s="465">
        <f>K11+K15+K19+J25+J27+J29+J31</f>
        <v>0</v>
      </c>
      <c r="K33" s="210"/>
      <c r="L33" s="212"/>
      <c r="N33"/>
      <c r="O33" s="13"/>
    </row>
    <row r="34" spans="2:20" ht="30" customHeight="1">
      <c r="F34"/>
      <c r="J34" s="131"/>
      <c r="K34" s="210"/>
      <c r="L34" s="212"/>
      <c r="N34"/>
      <c r="O34" s="13"/>
    </row>
    <row r="35" spans="2:20" ht="17" customHeight="1">
      <c r="B35" s="2852" t="s">
        <v>1015</v>
      </c>
      <c r="C35" s="2853"/>
      <c r="D35" s="896">
        <v>300</v>
      </c>
      <c r="E35" s="1337" t="s">
        <v>623</v>
      </c>
      <c r="G35" s="2856" t="s">
        <v>984</v>
      </c>
      <c r="H35" s="2857"/>
      <c r="I35" s="2858"/>
      <c r="J35"/>
      <c r="K35"/>
      <c r="L35" s="212"/>
      <c r="N35"/>
      <c r="O35" s="13"/>
    </row>
    <row r="36" spans="2:20" s="3" customFormat="1" ht="18" customHeight="1">
      <c r="B36" s="1336" t="s">
        <v>222</v>
      </c>
      <c r="C36" s="1340">
        <f>0.3%+13%+8.55%+1.9%+3.45%+0.1%+0.5%+4%+0.15%+2%+4.72%+1.29%</f>
        <v>0.39960000000000007</v>
      </c>
      <c r="D36" s="1341">
        <f>$D$35*(1+1*C36)</f>
        <v>419.88</v>
      </c>
      <c r="E36" s="1338" t="s">
        <v>899</v>
      </c>
      <c r="G36" s="2854" t="s">
        <v>789</v>
      </c>
      <c r="H36" s="2855"/>
      <c r="I36" s="1327" t="str">
        <f>'Evaluation loc. studio'!L12</f>
        <v>0 h</v>
      </c>
      <c r="J36"/>
      <c r="K36"/>
      <c r="L36" s="68"/>
      <c r="M36" s="4"/>
      <c r="N36" s="5"/>
      <c r="O36" s="69"/>
      <c r="P36" s="4"/>
      <c r="Q36" s="4"/>
      <c r="R36" s="68"/>
      <c r="S36" s="4"/>
      <c r="T36" s="68"/>
    </row>
    <row r="37" spans="2:20" s="3" customFormat="1" ht="18" customHeight="1">
      <c r="B37" s="1336" t="s">
        <v>514</v>
      </c>
      <c r="C37" s="1340">
        <f>9.2%+0.5%+6.9%+0.4%+2%+3.15%+0.86%</f>
        <v>0.2301</v>
      </c>
      <c r="D37" s="1342">
        <f>$D$35*(1-1*C37)</f>
        <v>230.97</v>
      </c>
      <c r="E37" s="1339" t="s">
        <v>794</v>
      </c>
      <c r="G37" s="2862" t="s">
        <v>1005</v>
      </c>
      <c r="H37" s="2863"/>
      <c r="I37" s="2864"/>
      <c r="J37"/>
      <c r="K37"/>
      <c r="L37" s="18"/>
      <c r="M37" s="43"/>
      <c r="Q37" s="4"/>
      <c r="R37" s="22"/>
    </row>
    <row r="38" spans="2:20" s="19" customFormat="1" ht="18" customHeight="1">
      <c r="B38" s="1336" t="s">
        <v>634</v>
      </c>
      <c r="C38" s="1340">
        <f>D36/D37</f>
        <v>1.8178984283673205</v>
      </c>
      <c r="D38" s="2850" t="s">
        <v>266</v>
      </c>
      <c r="E38" s="2851"/>
      <c r="G38" s="2865" t="s">
        <v>906</v>
      </c>
      <c r="H38" s="2866"/>
      <c r="I38" s="2867"/>
      <c r="J38"/>
      <c r="K38"/>
      <c r="L38" s="18"/>
      <c r="M38" s="43"/>
      <c r="R38" s="22"/>
    </row>
    <row r="39" spans="2:20" customFormat="1" ht="18" customHeight="1">
      <c r="B39" s="1"/>
      <c r="C39" s="1"/>
      <c r="D39" s="7"/>
      <c r="E39" s="2"/>
    </row>
    <row r="40" spans="2:20" customFormat="1" ht="18" customHeight="1">
      <c r="G40" s="486"/>
      <c r="H40" s="486"/>
      <c r="I40" s="486"/>
      <c r="J40" s="486"/>
      <c r="K40" s="486"/>
    </row>
    <row r="41" spans="2:20" ht="27" customHeight="1">
      <c r="B41" s="437"/>
      <c r="C41" s="19"/>
      <c r="D41" s="438"/>
      <c r="E41" s="19"/>
      <c r="I41"/>
      <c r="J41"/>
      <c r="K41"/>
      <c r="M41" s="42"/>
      <c r="O41" s="1"/>
      <c r="P41" s="1"/>
    </row>
    <row r="42" spans="2:20" ht="27" customHeight="1">
      <c r="I42"/>
      <c r="J42"/>
      <c r="K42"/>
      <c r="O42" s="1"/>
      <c r="P42" s="1"/>
    </row>
    <row r="43" spans="2:20" ht="27" customHeight="1">
      <c r="I43"/>
      <c r="J43"/>
      <c r="K43"/>
    </row>
    <row r="44" spans="2:20" ht="18">
      <c r="I44"/>
    </row>
  </sheetData>
  <mergeCells count="26">
    <mergeCell ref="B1:K1"/>
    <mergeCell ref="B2:K2"/>
    <mergeCell ref="B23:C23"/>
    <mergeCell ref="B27:C27"/>
    <mergeCell ref="B29:C29"/>
    <mergeCell ref="K11:K12"/>
    <mergeCell ref="K15:K16"/>
    <mergeCell ref="K19:K20"/>
    <mergeCell ref="B8:C8"/>
    <mergeCell ref="B25:C25"/>
    <mergeCell ref="E8:G8"/>
    <mergeCell ref="H27:I27"/>
    <mergeCell ref="H29:I29"/>
    <mergeCell ref="H25:I25"/>
    <mergeCell ref="B31:C31"/>
    <mergeCell ref="H6:H10"/>
    <mergeCell ref="D8:D9"/>
    <mergeCell ref="I6:K10"/>
    <mergeCell ref="D38:E38"/>
    <mergeCell ref="B35:C35"/>
    <mergeCell ref="G36:H36"/>
    <mergeCell ref="G35:I35"/>
    <mergeCell ref="G33:I33"/>
    <mergeCell ref="G37:I37"/>
    <mergeCell ref="G38:I38"/>
    <mergeCell ref="H31:I31"/>
  </mergeCells>
  <phoneticPr fontId="50" type="noConversion"/>
  <conditionalFormatting sqref="C11:D12 D29:G29 D25:F25 C19:D20 C15:D16 D31:F31 D27:G27">
    <cfRule type="cellIs" dxfId="44" priority="0" stopIfTrue="1" operator="greaterThan">
      <formula>0</formula>
    </cfRule>
  </conditionalFormatting>
  <conditionalFormatting sqref="E11:H12 E19:H20 E15:H16 F6">
    <cfRule type="cellIs" dxfId="43" priority="1" stopIfTrue="1" operator="equal">
      <formula>"x"</formula>
    </cfRule>
  </conditionalFormatting>
  <printOptions horizontalCentered="1" verticalCentered="1"/>
  <pageMargins left="0.42" right="0.25" top="0.78680555555555554" bottom="0.6100000000000001" header="0.46000000000000008" footer="0.42"/>
  <pageSetup paperSize="10" scale="55" orientation="landscape" horizontalDpi="4294967292" verticalDpi="4294967292"/>
  <headerFooter>
    <oddHeader>&amp;C&amp;"Arial,Gras"&amp;20EQUIPE ET LOCATION[S]</oddHeader>
    <oddFooter xml:space="preserve">&amp;C© 2011/2019 eric delamarre - Document GPLA </oddFooter>
  </headerFooter>
  <ignoredErrors>
    <ignoredError sqref="J15:J16 J13:J14 J19:J20 J17:J18 J11:J12 I13:I14 I17:I18 I11:I12 I15:I16 I19:I20" emptyCellReference="1"/>
  </ignoredErrors>
  <extLst>
    <ext xmlns:mx="http://schemas.microsoft.com/office/mac/excel/2008/main" uri="http://schemas.microsoft.com/office/mac/excel/2008/main">
      <mx:PLV Mode="1"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2:N25"/>
  <sheetViews>
    <sheetView showGridLines="0" view="pageLayout" workbookViewId="0">
      <selection activeCell="E18" sqref="E18"/>
    </sheetView>
  </sheetViews>
  <sheetFormatPr baseColWidth="10" defaultRowHeight="18"/>
  <cols>
    <col min="1" max="1" width="8.75" customWidth="1"/>
    <col min="2" max="2" width="19.625" customWidth="1"/>
    <col min="3" max="3" width="18" customWidth="1"/>
    <col min="4" max="4" width="20.125" customWidth="1"/>
    <col min="5" max="5" width="19.5" customWidth="1"/>
    <col min="6" max="6" width="3.25" customWidth="1"/>
    <col min="7" max="7" width="2.125" customWidth="1"/>
    <col min="8" max="8" width="18.5" customWidth="1"/>
    <col min="9" max="9" width="15.5" customWidth="1"/>
    <col min="10" max="10" width="18.125" customWidth="1"/>
    <col min="11" max="11" width="15" customWidth="1"/>
    <col min="12" max="12" width="16" customWidth="1"/>
    <col min="13" max="13" width="12" customWidth="1"/>
  </cols>
  <sheetData>
    <row r="2" spans="1:13" ht="18" customHeight="1">
      <c r="B2" s="828"/>
      <c r="C2" s="829"/>
      <c r="D2" s="2885" t="s">
        <v>425</v>
      </c>
      <c r="E2" s="2886"/>
      <c r="H2" s="2882" t="s">
        <v>920</v>
      </c>
      <c r="I2" s="2882"/>
      <c r="J2" s="2882"/>
      <c r="K2" s="2882"/>
      <c r="L2" s="2882"/>
    </row>
    <row r="3" spans="1:13" ht="41" customHeight="1">
      <c r="B3" s="2883" t="s">
        <v>537</v>
      </c>
      <c r="C3" s="2884"/>
      <c r="D3" s="929" t="str">
        <f>(B7+D7+C7)&amp; " mètres"</f>
        <v>9,6 mètres</v>
      </c>
      <c r="E3" s="493" t="str">
        <f>(C5+C7+C8+C10) &amp;" mètres"</f>
        <v>12,84 mètres</v>
      </c>
      <c r="G3" s="827"/>
      <c r="K3" s="933" t="s">
        <v>1070</v>
      </c>
      <c r="L3" s="934" t="str">
        <f>ROUND((SQRT((H6*H6)+(J6*J6))*0.56),0)&amp;" mm"</f>
        <v>17 mm</v>
      </c>
    </row>
    <row r="4" spans="1:13" ht="19" thickBot="1">
      <c r="K4" s="935"/>
      <c r="L4" s="935"/>
    </row>
    <row r="5" spans="1:13" ht="52" customHeight="1" thickTop="1">
      <c r="B5" s="940" t="s">
        <v>966</v>
      </c>
      <c r="C5" s="1351">
        <v>3</v>
      </c>
      <c r="D5" s="826" t="s">
        <v>793</v>
      </c>
      <c r="E5" s="1018" t="s">
        <v>1089</v>
      </c>
      <c r="H5" s="2887" t="s">
        <v>1161</v>
      </c>
      <c r="I5" s="2871"/>
      <c r="J5" s="2872"/>
      <c r="K5" s="933" t="s">
        <v>1071</v>
      </c>
      <c r="L5" s="934" t="str">
        <f>ROUND((SQRT((H6*H6)+(J6*J6))*0.8),0)&amp;" mm"</f>
        <v>24 mm</v>
      </c>
    </row>
    <row r="6" spans="1:13" ht="60" customHeight="1">
      <c r="B6" s="939" t="s">
        <v>879</v>
      </c>
      <c r="C6" s="1354"/>
      <c r="D6" s="938" t="s">
        <v>879</v>
      </c>
      <c r="E6" s="1019" t="s">
        <v>945</v>
      </c>
      <c r="H6" s="819">
        <v>18</v>
      </c>
      <c r="I6" s="817" t="s">
        <v>946</v>
      </c>
      <c r="J6" s="820">
        <v>24</v>
      </c>
      <c r="K6" s="933" t="s">
        <v>1074</v>
      </c>
      <c r="L6" s="934" t="str">
        <f>ROUND((SQRT((H6*H6)+(J6*J6))*2.08),0)&amp;" mm"</f>
        <v>62 mm</v>
      </c>
    </row>
    <row r="7" spans="1:13" ht="68" customHeight="1" thickBot="1">
      <c r="A7" s="491"/>
      <c r="B7" s="1350">
        <v>3</v>
      </c>
      <c r="C7" s="1355">
        <v>3.6</v>
      </c>
      <c r="D7" s="1353">
        <v>3</v>
      </c>
      <c r="E7" s="1020" t="s">
        <v>168</v>
      </c>
      <c r="H7" s="930" t="s">
        <v>1053</v>
      </c>
      <c r="I7" s="2888" t="str">
        <f>ROUND(SQRT((H6*H6)+(J6*J6)),0)&amp;" mm"</f>
        <v>30 mm</v>
      </c>
      <c r="J7" s="2889"/>
      <c r="K7" s="936" t="s">
        <v>1138</v>
      </c>
      <c r="L7" s="934" t="str">
        <f>ROUND((SQRT((H6*H6)+(J6*J6))*4.15),0)&amp; " mm"</f>
        <v>125 mm</v>
      </c>
    </row>
    <row r="8" spans="1:13" ht="231" customHeight="1" thickTop="1" thickBot="1">
      <c r="B8" s="1349" t="s">
        <v>218</v>
      </c>
      <c r="C8" s="1528">
        <f>ROUND((((C7/1000)*C9/C12)*1000),2)</f>
        <v>4.74</v>
      </c>
      <c r="D8" s="1348"/>
      <c r="E8" s="1019" t="s">
        <v>1001</v>
      </c>
    </row>
    <row r="9" spans="1:13" ht="42" customHeight="1" thickTop="1" thickBot="1">
      <c r="B9" s="821" t="str">
        <f xml:space="preserve"> "pour info : focale dite normale est le "&amp;I7</f>
        <v>pour info : focale dite normale est le 30 mm</v>
      </c>
      <c r="C9" s="1527">
        <v>25</v>
      </c>
      <c r="D9" s="492" t="s">
        <v>1162</v>
      </c>
      <c r="E9" s="1021"/>
    </row>
    <row r="10" spans="1:13" ht="68" customHeight="1" thickTop="1" thickBot="1">
      <c r="B10" s="937" t="s">
        <v>1023</v>
      </c>
      <c r="C10" s="1352">
        <v>1.5</v>
      </c>
      <c r="D10" s="825" t="s">
        <v>1048</v>
      </c>
      <c r="E10" s="1021"/>
      <c r="L10" s="2890" t="s">
        <v>159</v>
      </c>
    </row>
    <row r="11" spans="1:13" ht="20" thickTop="1" thickBot="1">
      <c r="B11" s="1023"/>
      <c r="C11" s="1025"/>
      <c r="D11" s="1025"/>
      <c r="E11" s="1021"/>
      <c r="L11" s="2891"/>
    </row>
    <row r="12" spans="1:13" ht="69" customHeight="1" thickTop="1" thickBot="1">
      <c r="B12" s="1024" t="s">
        <v>927</v>
      </c>
      <c r="C12" s="1527">
        <v>19</v>
      </c>
      <c r="D12" s="1526">
        <f>H6</f>
        <v>18</v>
      </c>
      <c r="E12" s="1022"/>
      <c r="H12" s="2852" t="s">
        <v>860</v>
      </c>
      <c r="I12" s="2858"/>
      <c r="J12" s="1356">
        <f>ROUND(((B7+D7+C7)*(C5+C7+C8+C10)),0)</f>
        <v>123</v>
      </c>
      <c r="K12" s="1346" t="s">
        <v>916</v>
      </c>
      <c r="L12" s="1765" t="str">
        <f>IF((I19+(J19*4)+(K19*8))&lt;8,ROUND((I19+(J19*4)+(K19*8)),2)&amp;" h",ROUND((I19+(J19*4)+(K19*8))/8,2)&amp;" jr")</f>
        <v>0 h</v>
      </c>
    </row>
    <row r="13" spans="1:13" ht="32" customHeight="1" thickTop="1">
      <c r="C13" s="816">
        <f>J6</f>
        <v>24</v>
      </c>
      <c r="M13" s="9"/>
    </row>
    <row r="14" spans="1:13" ht="22" customHeight="1">
      <c r="B14" s="2852" t="s">
        <v>810</v>
      </c>
      <c r="C14" s="2857"/>
      <c r="D14" s="2857"/>
      <c r="E14" s="2858"/>
      <c r="F14" s="2906" t="s">
        <v>913</v>
      </c>
      <c r="G14" s="2907"/>
      <c r="H14" s="2907"/>
      <c r="I14" s="2907"/>
      <c r="J14" s="2908"/>
      <c r="K14" s="657">
        <v>0.9</v>
      </c>
      <c r="L14" s="657">
        <v>0.8</v>
      </c>
      <c r="M14" s="1718"/>
    </row>
    <row r="15" spans="1:13" ht="22" customHeight="1">
      <c r="B15" s="943" t="s">
        <v>1109</v>
      </c>
      <c r="C15" s="943" t="s">
        <v>1157</v>
      </c>
      <c r="D15" s="943" t="s">
        <v>1110</v>
      </c>
      <c r="E15" s="943" t="s">
        <v>813</v>
      </c>
      <c r="F15" s="2900" t="str">
        <f>"soit un prix moyen horaire pour "&amp;J12&amp;" m2 de :  "</f>
        <v xml:space="preserve">soit un prix moyen horaire pour 123 m2 de :  </v>
      </c>
      <c r="G15" s="2901"/>
      <c r="H15" s="2901"/>
      <c r="I15" s="2902"/>
      <c r="J15" s="2898">
        <f>IF(B17="x",J12*B16, IF(C17="x",J12*C16, IF(D17="x",J12*D16,IF(E17="x",J12*E16, 0))))</f>
        <v>189.42000000000002</v>
      </c>
      <c r="K15" s="862">
        <f>(J15*4)*K14</f>
        <v>681.91200000000003</v>
      </c>
      <c r="L15" s="863">
        <f>(J15*8)*L14</f>
        <v>1212.2880000000002</v>
      </c>
      <c r="M15" s="1718"/>
    </row>
    <row r="16" spans="1:13" ht="22" customHeight="1">
      <c r="B16" s="944">
        <v>0.4</v>
      </c>
      <c r="C16" s="944">
        <v>0.53</v>
      </c>
      <c r="D16" s="944">
        <v>0.64</v>
      </c>
      <c r="E16" s="944">
        <v>1.54</v>
      </c>
      <c r="F16" s="2903"/>
      <c r="G16" s="2904"/>
      <c r="H16" s="2904"/>
      <c r="I16" s="2905"/>
      <c r="J16" s="2899"/>
      <c r="K16" s="864" t="s">
        <v>751</v>
      </c>
      <c r="L16" s="864" t="s">
        <v>370</v>
      </c>
      <c r="M16" s="1718"/>
    </row>
    <row r="17" spans="2:14" ht="22" customHeight="1">
      <c r="B17" s="495"/>
      <c r="C17" s="495"/>
      <c r="D17" s="495"/>
      <c r="E17" s="495" t="s">
        <v>1183</v>
      </c>
      <c r="F17" s="2911" t="s">
        <v>959</v>
      </c>
      <c r="G17" s="2567"/>
      <c r="H17" s="2567"/>
      <c r="I17" s="2552"/>
      <c r="J17" s="2909" t="s">
        <v>914</v>
      </c>
      <c r="K17" s="2910"/>
      <c r="L17" s="1935"/>
      <c r="M17" s="9"/>
    </row>
    <row r="18" spans="2:14" ht="21" customHeight="1">
      <c r="B18" s="399"/>
      <c r="C18" s="500"/>
      <c r="D18" s="500"/>
      <c r="E18" s="500"/>
      <c r="F18" s="500"/>
      <c r="G18" s="500"/>
      <c r="H18" s="467"/>
      <c r="I18" s="1098" t="s">
        <v>395</v>
      </c>
      <c r="J18" s="945" t="s">
        <v>896</v>
      </c>
      <c r="K18" s="945" t="s">
        <v>897</v>
      </c>
      <c r="L18" s="532"/>
    </row>
    <row r="19" spans="2:14" ht="25" customHeight="1">
      <c r="B19" s="501"/>
      <c r="C19" s="499" t="s">
        <v>410</v>
      </c>
      <c r="D19" s="502"/>
      <c r="E19" s="502"/>
      <c r="F19" s="502"/>
      <c r="G19" s="502"/>
      <c r="H19" s="860" t="s">
        <v>702</v>
      </c>
      <c r="I19" s="1529">
        <v>0</v>
      </c>
      <c r="J19" s="1529">
        <v>0</v>
      </c>
      <c r="K19" s="1529">
        <v>0</v>
      </c>
      <c r="L19" s="1671" t="s">
        <v>109</v>
      </c>
    </row>
    <row r="20" spans="2:14" ht="21" customHeight="1">
      <c r="B20" s="503"/>
      <c r="C20" s="504"/>
      <c r="D20" s="504"/>
      <c r="E20" s="504"/>
      <c r="F20" s="504"/>
      <c r="G20" s="504"/>
      <c r="H20" s="405"/>
      <c r="I20" s="656">
        <f>IF(I19&gt;=4,"Passer en 1/2 jée",0)</f>
        <v>0</v>
      </c>
      <c r="J20" s="405"/>
      <c r="K20" s="406"/>
      <c r="L20" s="1347">
        <f>(I19*J15)+(J19*K15)+(K19*L15)</f>
        <v>0</v>
      </c>
    </row>
    <row r="21" spans="2:14" s="5" customFormat="1" ht="22" customHeight="1">
      <c r="B21" s="926"/>
      <c r="C21" s="926"/>
      <c r="D21" s="926"/>
      <c r="E21" s="2912" t="s">
        <v>201</v>
      </c>
      <c r="F21" s="2913"/>
      <c r="G21" s="2913"/>
      <c r="H21" s="2913"/>
      <c r="I21" s="2913"/>
      <c r="J21" s="2913"/>
      <c r="K21" s="2913"/>
      <c r="L21" s="2914"/>
      <c r="N21" s="926"/>
    </row>
    <row r="23" spans="2:14" ht="27" customHeight="1">
      <c r="B23" s="2892" t="s">
        <v>462</v>
      </c>
      <c r="C23" s="2893"/>
      <c r="D23" s="2893"/>
      <c r="E23" s="2893"/>
      <c r="F23" s="2893"/>
      <c r="G23" s="2894"/>
      <c r="H23" s="861" t="s">
        <v>635</v>
      </c>
      <c r="I23" s="861" t="s">
        <v>844</v>
      </c>
      <c r="J23" s="861" t="s">
        <v>633</v>
      </c>
      <c r="K23" s="861" t="s">
        <v>423</v>
      </c>
    </row>
    <row r="24" spans="2:14" ht="27" customHeight="1">
      <c r="B24" s="2895"/>
      <c r="C24" s="2896"/>
      <c r="D24" s="2896"/>
      <c r="E24" s="2896"/>
      <c r="F24" s="2896"/>
      <c r="G24" s="2897"/>
      <c r="H24" s="485">
        <v>1.8</v>
      </c>
      <c r="I24" s="485">
        <v>24</v>
      </c>
      <c r="J24" s="485">
        <v>3</v>
      </c>
      <c r="K24" s="1357" t="str">
        <f>ROUND((I24*(J24*1000)/(H24*1000)),0)&amp; " mm"</f>
        <v>40 mm</v>
      </c>
    </row>
    <row r="25" spans="2:14">
      <c r="H25" s="494" t="s">
        <v>405</v>
      </c>
      <c r="I25" s="494" t="s">
        <v>644</v>
      </c>
      <c r="J25" s="496" t="s">
        <v>405</v>
      </c>
      <c r="K25" s="494" t="s">
        <v>644</v>
      </c>
    </row>
  </sheetData>
  <mergeCells count="15">
    <mergeCell ref="L10:L11"/>
    <mergeCell ref="B23:G24"/>
    <mergeCell ref="H12:I12"/>
    <mergeCell ref="J15:J16"/>
    <mergeCell ref="B14:E14"/>
    <mergeCell ref="F15:I16"/>
    <mergeCell ref="F14:J14"/>
    <mergeCell ref="J17:L17"/>
    <mergeCell ref="F17:I17"/>
    <mergeCell ref="E21:L21"/>
    <mergeCell ref="H2:L2"/>
    <mergeCell ref="B3:C3"/>
    <mergeCell ref="D2:E2"/>
    <mergeCell ref="H5:J5"/>
    <mergeCell ref="I7:J7"/>
  </mergeCells>
  <phoneticPr fontId="50" type="noConversion"/>
  <conditionalFormatting sqref="I20">
    <cfRule type="cellIs" dxfId="42" priority="0" stopIfTrue="1" operator="equal">
      <formula>0</formula>
    </cfRule>
    <cfRule type="cellIs" dxfId="41" priority="0" stopIfTrue="1" operator="notEqual">
      <formula>0</formula>
    </cfRule>
  </conditionalFormatting>
  <conditionalFormatting sqref="B17:E17">
    <cfRule type="cellIs" dxfId="40" priority="1" stopIfTrue="1" operator="equal">
      <formula>"x"</formula>
    </cfRule>
  </conditionalFormatting>
  <conditionalFormatting sqref="I19:K19">
    <cfRule type="cellIs" dxfId="39" priority="2" stopIfTrue="1" operator="greaterThan">
      <formula>0</formula>
    </cfRule>
  </conditionalFormatting>
  <pageMargins left="0.75" right="0.75" top="0.65166666666666695" bottom="0.66069444444444403" header="0.5" footer="0.64097222222222205"/>
  <pageSetup paperSize="10" scale="49" orientation="landscape" horizontalDpi="4294967292" verticalDpi="4294967292"/>
  <ignoredErrors>
    <ignoredError sqref="K16 J15" emptyCellReference="1"/>
  </ignoredErrors>
  <drawing r:id="rId1"/>
  <extLst>
    <ext xmlns:mx="http://schemas.microsoft.com/office/mac/excel/2008/main" uri="http://schemas.microsoft.com/office/mac/excel/2008/main">
      <mx:PLV Mode="1"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H61"/>
  <sheetViews>
    <sheetView showGridLines="0" view="pageLayout" zoomScale="68" zoomScalePageLayoutView="68" workbookViewId="0">
      <selection activeCell="G5" sqref="G5"/>
    </sheetView>
  </sheetViews>
  <sheetFormatPr baseColWidth="10" defaultRowHeight="18"/>
  <cols>
    <col min="1" max="1" width="2.625" customWidth="1"/>
    <col min="2" max="2" width="39.625" customWidth="1"/>
    <col min="3" max="3" width="10.5" customWidth="1"/>
    <col min="4" max="4" width="9.75" customWidth="1"/>
    <col min="5" max="5" width="8.75" customWidth="1"/>
    <col min="6" max="6" width="8.25" customWidth="1"/>
    <col min="7" max="7" width="9.5" customWidth="1"/>
    <col min="8" max="8" width="0.125" style="622" customWidth="1"/>
    <col min="9" max="9" width="2.125" customWidth="1"/>
  </cols>
  <sheetData>
    <row r="1" spans="1:8" s="5" customFormat="1" ht="21" customHeight="1">
      <c r="A1" s="629"/>
      <c r="B1" s="1785" t="str">
        <f>"Valeur journalière de référence: "&amp;'Temps passé'!E10&amp; " €"</f>
        <v>Valeur journalière de référence: 1000 €</v>
      </c>
      <c r="C1" s="892" t="s">
        <v>656</v>
      </c>
      <c r="D1" s="893" t="s">
        <v>655</v>
      </c>
      <c r="E1" s="868"/>
      <c r="F1" s="400"/>
      <c r="G1" s="986" t="s">
        <v>1039</v>
      </c>
      <c r="H1" s="622"/>
    </row>
    <row r="2" spans="1:8" s="5" customFormat="1" ht="60" customHeight="1">
      <c r="A2" s="2945" t="s">
        <v>122</v>
      </c>
      <c r="B2" s="2946"/>
      <c r="C2" s="2939" t="s">
        <v>700</v>
      </c>
      <c r="D2" s="2939" t="s">
        <v>622</v>
      </c>
      <c r="E2" s="869" t="s">
        <v>1163</v>
      </c>
      <c r="F2" s="2939" t="s">
        <v>420</v>
      </c>
      <c r="G2" s="2942" t="s">
        <v>1092</v>
      </c>
      <c r="H2" s="622"/>
    </row>
    <row r="3" spans="1:8" ht="26" customHeight="1" thickBot="1">
      <c r="A3" s="2920" t="s">
        <v>538</v>
      </c>
      <c r="B3" s="2944"/>
      <c r="C3" s="2940"/>
      <c r="D3" s="2940"/>
      <c r="E3" s="870"/>
      <c r="F3" s="2941"/>
      <c r="G3" s="2943"/>
    </row>
    <row r="4" spans="1:8" ht="16" customHeight="1">
      <c r="A4" s="337"/>
      <c r="B4" s="338" t="s">
        <v>969</v>
      </c>
      <c r="C4" s="873"/>
      <c r="D4" s="873"/>
      <c r="E4" s="883" t="str">
        <f>IF(C4=0,"",IF(D4/C4&lt;=1,D4/C4,""))</f>
        <v/>
      </c>
      <c r="F4" s="884" t="str">
        <f>IF(C4=0,"",IF(D4/C4&gt;1,D4/C4-1,""))</f>
        <v/>
      </c>
      <c r="G4" s="1536">
        <v>1</v>
      </c>
      <c r="H4" s="878">
        <f>IF(C4+D4&gt;0,G4,0)</f>
        <v>0</v>
      </c>
    </row>
    <row r="5" spans="1:8" ht="16" customHeight="1">
      <c r="A5" s="339"/>
      <c r="B5" s="340" t="s">
        <v>775</v>
      </c>
      <c r="C5" s="874"/>
      <c r="D5" s="874"/>
      <c r="E5" s="883" t="str">
        <f>IF(C5=0,"",IF(D5/C5&lt;=1,D5/C5,""))</f>
        <v/>
      </c>
      <c r="F5" s="885" t="str">
        <f t="shared" ref="F5:F13" si="0">IF(C5=0,"",IF(D5/C5&gt;1,D5/C5-1,""))</f>
        <v/>
      </c>
      <c r="G5" s="1537">
        <v>1</v>
      </c>
      <c r="H5" s="878">
        <f t="shared" ref="H5:H14" si="1">IF(C5+D5&gt;0,G5,0)</f>
        <v>0</v>
      </c>
    </row>
    <row r="6" spans="1:8" ht="16" customHeight="1">
      <c r="A6" s="339"/>
      <c r="B6" s="342" t="s">
        <v>663</v>
      </c>
      <c r="C6" s="874"/>
      <c r="D6" s="874"/>
      <c r="E6" s="883" t="str">
        <f t="shared" ref="E6:E13" si="2">IF(C6=0,"",IF(D6/C6&lt;=1,D6/C6,""))</f>
        <v/>
      </c>
      <c r="F6" s="885" t="str">
        <f t="shared" si="0"/>
        <v/>
      </c>
      <c r="G6" s="1537">
        <v>1</v>
      </c>
      <c r="H6" s="878">
        <f t="shared" si="1"/>
        <v>0</v>
      </c>
    </row>
    <row r="7" spans="1:8" ht="16" customHeight="1">
      <c r="A7" s="339"/>
      <c r="B7" s="342" t="s">
        <v>735</v>
      </c>
      <c r="C7" s="874"/>
      <c r="D7" s="874"/>
      <c r="E7" s="883" t="str">
        <f t="shared" si="2"/>
        <v/>
      </c>
      <c r="F7" s="886" t="str">
        <f t="shared" si="0"/>
        <v/>
      </c>
      <c r="G7" s="1537">
        <v>1</v>
      </c>
      <c r="H7" s="878">
        <f t="shared" si="1"/>
        <v>0</v>
      </c>
    </row>
    <row r="8" spans="1:8" ht="16" customHeight="1">
      <c r="A8" s="339"/>
      <c r="B8" s="342" t="s">
        <v>256</v>
      </c>
      <c r="C8" s="874"/>
      <c r="D8" s="874"/>
      <c r="E8" s="883" t="str">
        <f t="shared" si="2"/>
        <v/>
      </c>
      <c r="F8" s="886" t="str">
        <f t="shared" si="0"/>
        <v/>
      </c>
      <c r="G8" s="1537">
        <v>1</v>
      </c>
      <c r="H8" s="878">
        <f t="shared" si="1"/>
        <v>0</v>
      </c>
    </row>
    <row r="9" spans="1:8" ht="16" customHeight="1">
      <c r="A9" s="339"/>
      <c r="B9" s="342" t="s">
        <v>811</v>
      </c>
      <c r="C9" s="874"/>
      <c r="D9" s="874"/>
      <c r="E9" s="883" t="str">
        <f t="shared" si="2"/>
        <v/>
      </c>
      <c r="F9" s="886" t="str">
        <f t="shared" si="0"/>
        <v/>
      </c>
      <c r="G9" s="1537">
        <v>1</v>
      </c>
      <c r="H9" s="878">
        <f t="shared" si="1"/>
        <v>0</v>
      </c>
    </row>
    <row r="10" spans="1:8" ht="16" customHeight="1">
      <c r="A10" s="339"/>
      <c r="B10" s="867"/>
      <c r="C10" s="874"/>
      <c r="D10" s="874"/>
      <c r="E10" s="883" t="str">
        <f t="shared" si="2"/>
        <v/>
      </c>
      <c r="F10" s="886" t="str">
        <f t="shared" si="0"/>
        <v/>
      </c>
      <c r="G10" s="1537">
        <v>1</v>
      </c>
      <c r="H10" s="878"/>
    </row>
    <row r="11" spans="1:8" ht="16" customHeight="1">
      <c r="A11" s="339"/>
      <c r="B11" s="865" t="s">
        <v>546</v>
      </c>
      <c r="C11" s="874"/>
      <c r="D11" s="874"/>
      <c r="E11" s="883" t="str">
        <f t="shared" si="2"/>
        <v/>
      </c>
      <c r="F11" s="886" t="str">
        <f t="shared" si="0"/>
        <v/>
      </c>
      <c r="G11" s="1537">
        <v>1</v>
      </c>
      <c r="H11" s="878">
        <f t="shared" si="1"/>
        <v>0</v>
      </c>
    </row>
    <row r="12" spans="1:8" ht="16" customHeight="1">
      <c r="A12" s="339"/>
      <c r="B12" s="865"/>
      <c r="C12" s="874"/>
      <c r="D12" s="874"/>
      <c r="E12" s="883" t="str">
        <f t="shared" si="2"/>
        <v/>
      </c>
      <c r="F12" s="886" t="str">
        <f t="shared" si="0"/>
        <v/>
      </c>
      <c r="G12" s="1537">
        <v>1</v>
      </c>
      <c r="H12" s="878">
        <f t="shared" si="1"/>
        <v>0</v>
      </c>
    </row>
    <row r="13" spans="1:8" ht="16" customHeight="1" thickBot="1">
      <c r="A13" s="339"/>
      <c r="B13" s="866"/>
      <c r="C13" s="875"/>
      <c r="D13" s="875"/>
      <c r="E13" s="887" t="str">
        <f t="shared" si="2"/>
        <v/>
      </c>
      <c r="F13" s="888" t="str">
        <f t="shared" si="0"/>
        <v/>
      </c>
      <c r="G13" s="1538">
        <v>1</v>
      </c>
      <c r="H13" s="878">
        <f t="shared" si="1"/>
        <v>0</v>
      </c>
    </row>
    <row r="14" spans="1:8" ht="25" customHeight="1" thickTop="1" thickBot="1">
      <c r="A14" s="2936" t="b">
        <f>IF((E15-F15)&gt;0,"BALANCE BÉNÉFICIAIRE DE "&amp;TEXT((E15-F15),"0%"),IF((E15-F15)&lt;0,"BALANCE DÉFICITAIRE DE "&amp;TEXT((E15-F15),"0%")))</f>
        <v>0</v>
      </c>
      <c r="B14" s="2937"/>
      <c r="C14" s="2937"/>
      <c r="D14" s="2937"/>
      <c r="E14" s="2937"/>
      <c r="F14" s="2937"/>
      <c r="G14" s="2938"/>
      <c r="H14" s="878">
        <f t="shared" si="1"/>
        <v>0</v>
      </c>
    </row>
    <row r="15" spans="1:8" s="5" customFormat="1" ht="26" customHeight="1" thickTop="1" thickBot="1">
      <c r="A15" s="2918" t="str">
        <f>A3</f>
        <v>PRÉPARATION et CONCEPTION</v>
      </c>
      <c r="B15" s="2919"/>
      <c r="C15" s="1358">
        <f>ROUND(SUM(C4:C14),0)</f>
        <v>0</v>
      </c>
      <c r="D15" s="1358">
        <f>SUM(D4:D14)</f>
        <v>0</v>
      </c>
      <c r="E15" s="1717">
        <f>IF(COUNT(E4:E14)=0,0,SUM(E4:E14)/COUNT(E4:E14))</f>
        <v>0</v>
      </c>
      <c r="F15" s="1717">
        <f>IF(COUNT(F4:F14)=0,0,SUM(F4:F14)/COUNT(F4:F14))</f>
        <v>0</v>
      </c>
      <c r="G15" s="1359">
        <f>IF(COUNT(C4:C13)=0,0,SUM(H4:H13)/COUNT(C4:C13))</f>
        <v>0</v>
      </c>
      <c r="H15" s="878"/>
    </row>
    <row r="16" spans="1:8" s="1670" customFormat="1" ht="19" thickBot="1">
      <c r="A16" s="1682"/>
      <c r="B16" s="1683" t="s">
        <v>1093</v>
      </c>
      <c r="C16" s="1684">
        <f>((C15/'Temps passé'!$J$23)*('Temps passé'!$E$10/'Temps passé'!$J$23))*G15</f>
        <v>0</v>
      </c>
      <c r="D16" s="1685"/>
      <c r="E16" s="2927">
        <f>C16-D17</f>
        <v>0</v>
      </c>
      <c r="F16" s="2928"/>
      <c r="G16" s="2934"/>
      <c r="H16" s="879"/>
    </row>
    <row r="17" spans="1:8" s="1670" customFormat="1" ht="19" thickBot="1">
      <c r="A17" s="1682"/>
      <c r="B17" s="1683" t="s">
        <v>1094</v>
      </c>
      <c r="C17" s="1686"/>
      <c r="D17" s="1687">
        <f>((D15/'Temps passé'!$J$23)*('Temps passé'!$E$10/'Temps passé'!$J$23))*G15</f>
        <v>0</v>
      </c>
      <c r="E17" s="2929"/>
      <c r="F17" s="2930"/>
      <c r="G17" s="2935"/>
      <c r="H17" s="879"/>
    </row>
    <row r="18" spans="1:8" s="997" customFormat="1" ht="15" customHeight="1" thickBot="1">
      <c r="A18" s="989"/>
      <c r="B18" s="990"/>
      <c r="C18" s="991"/>
      <c r="D18" s="992"/>
      <c r="E18" s="994"/>
      <c r="F18" s="994"/>
      <c r="G18" s="995"/>
      <c r="H18" s="996"/>
    </row>
    <row r="19" spans="1:8" ht="32" customHeight="1" thickBot="1">
      <c r="A19" s="2920" t="s">
        <v>779</v>
      </c>
      <c r="B19" s="2921"/>
      <c r="C19" s="891" t="s">
        <v>656</v>
      </c>
      <c r="D19" s="998" t="s">
        <v>655</v>
      </c>
      <c r="E19" s="891"/>
      <c r="F19" s="625"/>
      <c r="G19" s="987" t="s">
        <v>1039</v>
      </c>
      <c r="H19" s="878"/>
    </row>
    <row r="20" spans="1:8" ht="16" customHeight="1">
      <c r="A20" s="337"/>
      <c r="B20" s="338" t="s">
        <v>547</v>
      </c>
      <c r="C20" s="876"/>
      <c r="D20" s="876"/>
      <c r="E20" s="889" t="str">
        <f>IF(C20=0,"",IF(D20/C20&lt;=1,D20/C20,""))</f>
        <v/>
      </c>
      <c r="F20" s="884" t="str">
        <f>IF(C20=0,"",IF(D20/C20&gt;1,D20/C20-1,""))</f>
        <v/>
      </c>
      <c r="G20" s="1536">
        <v>1</v>
      </c>
      <c r="H20" s="878">
        <f>IF(C20+D20&gt;0,G20,0)</f>
        <v>0</v>
      </c>
    </row>
    <row r="21" spans="1:8" ht="16" customHeight="1">
      <c r="A21" s="339"/>
      <c r="B21" s="343" t="s">
        <v>590</v>
      </c>
      <c r="C21" s="873"/>
      <c r="D21" s="873"/>
      <c r="E21" s="889" t="str">
        <f t="shared" ref="E21:E26" si="3">IF(C21=0,"",IF(D21/C21&lt;=1,D21/C21,""))</f>
        <v/>
      </c>
      <c r="F21" s="885" t="str">
        <f t="shared" ref="F21:F26" si="4">IF(C21=0,"",IF(D21/C21&gt;1,D21/C21-1,""))</f>
        <v/>
      </c>
      <c r="G21" s="1536">
        <v>1</v>
      </c>
      <c r="H21" s="878">
        <f>IF(C21+D21&gt;0,G21,0)</f>
        <v>0</v>
      </c>
    </row>
    <row r="22" spans="1:8" ht="16" customHeight="1">
      <c r="A22" s="339"/>
      <c r="B22" s="343"/>
      <c r="C22" s="873"/>
      <c r="D22" s="873"/>
      <c r="E22" s="889" t="str">
        <f t="shared" si="3"/>
        <v/>
      </c>
      <c r="F22" s="885" t="str">
        <f t="shared" si="4"/>
        <v/>
      </c>
      <c r="G22" s="1536">
        <v>1</v>
      </c>
      <c r="H22" s="878"/>
    </row>
    <row r="23" spans="1:8" ht="16" customHeight="1">
      <c r="A23" s="339"/>
      <c r="B23" s="343"/>
      <c r="C23" s="873"/>
      <c r="D23" s="873"/>
      <c r="E23" s="889" t="str">
        <f t="shared" si="3"/>
        <v/>
      </c>
      <c r="F23" s="886" t="str">
        <f t="shared" si="4"/>
        <v/>
      </c>
      <c r="G23" s="1536">
        <v>1</v>
      </c>
      <c r="H23" s="878"/>
    </row>
    <row r="24" spans="1:8" ht="16" customHeight="1">
      <c r="A24" s="339"/>
      <c r="B24" s="343"/>
      <c r="C24" s="873"/>
      <c r="D24" s="873"/>
      <c r="E24" s="889" t="str">
        <f t="shared" si="3"/>
        <v/>
      </c>
      <c r="F24" s="886" t="str">
        <f t="shared" si="4"/>
        <v/>
      </c>
      <c r="G24" s="1536">
        <v>1</v>
      </c>
      <c r="H24" s="878"/>
    </row>
    <row r="25" spans="1:8" ht="16" customHeight="1">
      <c r="A25" s="339"/>
      <c r="B25" s="343"/>
      <c r="C25" s="873"/>
      <c r="D25" s="873"/>
      <c r="E25" s="889" t="str">
        <f t="shared" si="3"/>
        <v/>
      </c>
      <c r="F25" s="886" t="str">
        <f t="shared" si="4"/>
        <v/>
      </c>
      <c r="G25" s="1536">
        <v>1</v>
      </c>
      <c r="H25" s="878"/>
    </row>
    <row r="26" spans="1:8" ht="16" customHeight="1" thickBot="1">
      <c r="A26" s="339"/>
      <c r="B26" s="871"/>
      <c r="C26" s="877"/>
      <c r="D26" s="877"/>
      <c r="E26" s="890" t="str">
        <f t="shared" si="3"/>
        <v/>
      </c>
      <c r="F26" s="885" t="str">
        <f t="shared" si="4"/>
        <v/>
      </c>
      <c r="G26" s="1536">
        <v>1</v>
      </c>
      <c r="H26" s="878">
        <f>IF(C26+D26&gt;0,G26,0)</f>
        <v>0</v>
      </c>
    </row>
    <row r="27" spans="1:8" ht="25" customHeight="1" thickTop="1" thickBot="1">
      <c r="A27" s="2936" t="b">
        <f>IF((E28-F28)&gt;0,"BALANCE BÉNÉFICIAIRE DE "&amp;TEXT((E28-F28),"0%"),IF((E28-F28)&lt;0,"BALANCE DÉFICITAIRE DE "&amp;TEXT((E28-F28),"0%")))</f>
        <v>0</v>
      </c>
      <c r="B27" s="2937"/>
      <c r="C27" s="2937"/>
      <c r="D27" s="2937"/>
      <c r="E27" s="2937"/>
      <c r="F27" s="2937"/>
      <c r="G27" s="2938"/>
      <c r="H27" s="878">
        <f>IF(C27+D27&gt;0,G27,0)</f>
        <v>0</v>
      </c>
    </row>
    <row r="28" spans="1:8" s="5" customFormat="1" ht="25" customHeight="1" thickTop="1" thickBot="1">
      <c r="A28" s="2918" t="str">
        <f>A19</f>
        <v>PRISES DE VUE</v>
      </c>
      <c r="B28" s="2919"/>
      <c r="C28" s="1358">
        <f>ROUND(SUM(C20:C27),0)</f>
        <v>0</v>
      </c>
      <c r="D28" s="1358">
        <f>SUM(D20:D27)</f>
        <v>0</v>
      </c>
      <c r="E28" s="1717">
        <f>IF(COUNT(E20:E27)=0,0,SUM(E20:E27)/COUNT(E20:E27))</f>
        <v>0</v>
      </c>
      <c r="F28" s="1717">
        <f>IF(COUNT(F20:F27)=0,0,SUM(F20:F27)/COUNT(F20:F27))</f>
        <v>0</v>
      </c>
      <c r="G28" s="1359">
        <f>IF(COUNT(C20:C26)=0,0,SUM(H20:H26)/COUNT(C20:C26))</f>
        <v>0</v>
      </c>
      <c r="H28" s="878"/>
    </row>
    <row r="29" spans="1:8" s="1670" customFormat="1" ht="19" thickBot="1">
      <c r="A29" s="1682"/>
      <c r="B29" s="1683" t="s">
        <v>1093</v>
      </c>
      <c r="C29" s="1684">
        <f>((C28/'Temps passé'!$J$23)*('Temps passé'!$E$10/'Temps passé'!$J$23))*G28</f>
        <v>0</v>
      </c>
      <c r="D29" s="1685"/>
      <c r="E29" s="2927">
        <f>C29-D30</f>
        <v>0</v>
      </c>
      <c r="F29" s="2931"/>
      <c r="G29" s="1688"/>
      <c r="H29" s="878"/>
    </row>
    <row r="30" spans="1:8" s="1670" customFormat="1" ht="19" thickBot="1">
      <c r="A30" s="1682"/>
      <c r="B30" s="1683" t="s">
        <v>1094</v>
      </c>
      <c r="C30" s="1686"/>
      <c r="D30" s="1687">
        <f>((D28/'Temps passé'!$J$23)*('Temps passé'!$E$10/'Temps passé'!$J$23))*G28</f>
        <v>0</v>
      </c>
      <c r="E30" s="2932"/>
      <c r="F30" s="2933"/>
      <c r="G30" s="1689"/>
      <c r="H30" s="878"/>
    </row>
    <row r="31" spans="1:8" s="988" customFormat="1" ht="17" customHeight="1" thickBot="1">
      <c r="A31" s="1002"/>
      <c r="B31" s="1001"/>
      <c r="C31" s="1003"/>
      <c r="D31" s="1004"/>
      <c r="E31" s="993"/>
      <c r="F31" s="993"/>
      <c r="G31" s="1005"/>
      <c r="H31" s="878"/>
    </row>
    <row r="32" spans="1:8" s="5" customFormat="1" ht="30" customHeight="1" thickBot="1">
      <c r="A32" s="2925" t="s">
        <v>123</v>
      </c>
      <c r="B32" s="2926"/>
      <c r="C32" s="894" t="s">
        <v>656</v>
      </c>
      <c r="D32" s="895" t="s">
        <v>655</v>
      </c>
      <c r="E32" s="999"/>
      <c r="F32" s="1000"/>
      <c r="G32" s="987" t="s">
        <v>1039</v>
      </c>
      <c r="H32" s="878"/>
    </row>
    <row r="33" spans="1:8" ht="16" customHeight="1">
      <c r="A33" s="337"/>
      <c r="B33" s="338" t="s">
        <v>295</v>
      </c>
      <c r="C33" s="876"/>
      <c r="D33" s="876"/>
      <c r="E33" s="889" t="str">
        <f>IF(C33=0,"",IF(D33/C33&lt;=1,D33/C33,""))</f>
        <v/>
      </c>
      <c r="F33" s="884" t="str">
        <f>IF(C33=0,"",IF(D33/C33&gt;1,D33/C33-1,""))</f>
        <v/>
      </c>
      <c r="G33" s="1539">
        <v>1</v>
      </c>
      <c r="H33" s="878">
        <f>IF(C33+D33&gt;0,G33,0)</f>
        <v>0</v>
      </c>
    </row>
    <row r="34" spans="1:8" ht="16" customHeight="1">
      <c r="A34" s="339"/>
      <c r="B34" s="342" t="s">
        <v>354</v>
      </c>
      <c r="C34" s="874"/>
      <c r="D34" s="874"/>
      <c r="E34" s="889" t="str">
        <f t="shared" ref="E34:E42" si="5">IF(C34=0,"",IF(D34/C34&lt;=1,D34/C34,""))</f>
        <v/>
      </c>
      <c r="F34" s="885" t="str">
        <f t="shared" ref="F34:F42" si="6">IF(C34=0,"",IF(D34/C34&gt;1,D34/C34-1,""))</f>
        <v/>
      </c>
      <c r="G34" s="1537">
        <v>1</v>
      </c>
      <c r="H34" s="878">
        <f t="shared" ref="H34:H43" si="7">IF(C34+D34&gt;0,G34,0)</f>
        <v>0</v>
      </c>
    </row>
    <row r="35" spans="1:8" ht="16" customHeight="1">
      <c r="A35" s="339"/>
      <c r="B35" s="342" t="s">
        <v>692</v>
      </c>
      <c r="C35" s="874"/>
      <c r="D35" s="874"/>
      <c r="E35" s="889" t="str">
        <f t="shared" si="5"/>
        <v/>
      </c>
      <c r="F35" s="885" t="str">
        <f t="shared" si="6"/>
        <v/>
      </c>
      <c r="G35" s="1537">
        <v>1</v>
      </c>
      <c r="H35" s="878">
        <f t="shared" si="7"/>
        <v>0</v>
      </c>
    </row>
    <row r="36" spans="1:8" ht="16" customHeight="1">
      <c r="A36" s="339"/>
      <c r="B36" s="341" t="s">
        <v>242</v>
      </c>
      <c r="C36" s="874"/>
      <c r="D36" s="874"/>
      <c r="E36" s="889" t="str">
        <f t="shared" si="5"/>
        <v/>
      </c>
      <c r="F36" s="886" t="str">
        <f t="shared" si="6"/>
        <v/>
      </c>
      <c r="G36" s="1537">
        <v>1</v>
      </c>
      <c r="H36" s="878">
        <f t="shared" si="7"/>
        <v>0</v>
      </c>
    </row>
    <row r="37" spans="1:8" ht="16" customHeight="1">
      <c r="A37" s="339"/>
      <c r="B37" s="341" t="s">
        <v>815</v>
      </c>
      <c r="C37" s="874"/>
      <c r="D37" s="874"/>
      <c r="E37" s="889" t="str">
        <f t="shared" si="5"/>
        <v/>
      </c>
      <c r="F37" s="886" t="str">
        <f t="shared" si="6"/>
        <v/>
      </c>
      <c r="G37" s="1537">
        <v>1</v>
      </c>
      <c r="H37" s="878">
        <f t="shared" si="7"/>
        <v>0</v>
      </c>
    </row>
    <row r="38" spans="1:8" ht="16" customHeight="1">
      <c r="A38" s="339"/>
      <c r="B38" s="865" t="s">
        <v>1072</v>
      </c>
      <c r="C38" s="874"/>
      <c r="D38" s="874"/>
      <c r="E38" s="889" t="str">
        <f t="shared" si="5"/>
        <v/>
      </c>
      <c r="F38" s="886" t="str">
        <f t="shared" si="6"/>
        <v/>
      </c>
      <c r="G38" s="1537">
        <v>1</v>
      </c>
      <c r="H38" s="878">
        <f t="shared" si="7"/>
        <v>0</v>
      </c>
    </row>
    <row r="39" spans="1:8" ht="16" customHeight="1">
      <c r="A39" s="339"/>
      <c r="B39" s="866"/>
      <c r="C39" s="875"/>
      <c r="D39" s="875"/>
      <c r="E39" s="889" t="str">
        <f t="shared" si="5"/>
        <v/>
      </c>
      <c r="F39" s="886" t="str">
        <f t="shared" si="6"/>
        <v/>
      </c>
      <c r="G39" s="1537">
        <v>1</v>
      </c>
      <c r="H39" s="878"/>
    </row>
    <row r="40" spans="1:8" ht="16" customHeight="1">
      <c r="A40" s="339"/>
      <c r="B40" s="866"/>
      <c r="C40" s="875"/>
      <c r="D40" s="875"/>
      <c r="E40" s="889" t="str">
        <f t="shared" si="5"/>
        <v/>
      </c>
      <c r="F40" s="886" t="str">
        <f t="shared" si="6"/>
        <v/>
      </c>
      <c r="G40" s="1537">
        <v>1</v>
      </c>
      <c r="H40" s="878"/>
    </row>
    <row r="41" spans="1:8" ht="16" customHeight="1">
      <c r="A41" s="339"/>
      <c r="B41" s="866"/>
      <c r="C41" s="875"/>
      <c r="D41" s="875"/>
      <c r="E41" s="889" t="str">
        <f t="shared" si="5"/>
        <v/>
      </c>
      <c r="F41" s="886" t="str">
        <f t="shared" si="6"/>
        <v/>
      </c>
      <c r="G41" s="1537">
        <v>1</v>
      </c>
      <c r="H41" s="878"/>
    </row>
    <row r="42" spans="1:8" ht="16" customHeight="1" thickBot="1">
      <c r="A42" s="339"/>
      <c r="B42" s="866"/>
      <c r="C42" s="875"/>
      <c r="D42" s="875"/>
      <c r="E42" s="890" t="str">
        <f t="shared" si="5"/>
        <v/>
      </c>
      <c r="F42" s="888" t="str">
        <f t="shared" si="6"/>
        <v/>
      </c>
      <c r="G42" s="1537">
        <v>1</v>
      </c>
      <c r="H42" s="878"/>
    </row>
    <row r="43" spans="1:8" ht="25" customHeight="1" thickTop="1" thickBot="1">
      <c r="A43" s="2936" t="b">
        <f>IF((E44-F44)&gt;0,"BALANCE BÉNÉFICIAIRE DE "&amp;TEXT((E44-F44),"0%"),IF((E44-F44)&lt;0,"BALANCE DÉFICITAIRE DE "&amp;TEXT((E44-F44),"0%")))</f>
        <v>0</v>
      </c>
      <c r="B43" s="2937"/>
      <c r="C43" s="2937"/>
      <c r="D43" s="2937"/>
      <c r="E43" s="2937"/>
      <c r="F43" s="2937"/>
      <c r="G43" s="2938"/>
      <c r="H43" s="878">
        <f t="shared" si="7"/>
        <v>0</v>
      </c>
    </row>
    <row r="44" spans="1:8" ht="25" customHeight="1" thickTop="1" thickBot="1">
      <c r="A44" s="2918" t="str">
        <f>A32</f>
        <v>POST PRODUCTION et DÉV. NUM.</v>
      </c>
      <c r="B44" s="2922"/>
      <c r="C44" s="1358">
        <f>SUM(C33:C43)</f>
        <v>0</v>
      </c>
      <c r="D44" s="1358">
        <f>SUM(D33:D43)</f>
        <v>0</v>
      </c>
      <c r="E44" s="1717">
        <f>IF(COUNT(E33:E43)=0,0,SUM(E33:E43)/COUNT(E33:E43))</f>
        <v>0</v>
      </c>
      <c r="F44" s="1717">
        <f>IF(COUNT(F33:F43)=0,0,SUM(F33:F43)/COUNT(F33:F43))</f>
        <v>0</v>
      </c>
      <c r="G44" s="1359">
        <f>IF(COUNT(C33:C42)=0,0,SUM(H33:H42)/COUNT(C33:C43))</f>
        <v>0</v>
      </c>
      <c r="H44" s="878"/>
    </row>
    <row r="45" spans="1:8" ht="19" thickBot="1">
      <c r="A45" s="1682"/>
      <c r="B45" s="1683" t="s">
        <v>1093</v>
      </c>
      <c r="C45" s="1684">
        <f>((C44/'Temps passé'!$J$23)*('Temps passé'!$E$10/'Temps passé'!$J$23))*G44</f>
        <v>0</v>
      </c>
      <c r="D45" s="1685"/>
      <c r="E45" s="2927">
        <f>C45-D46</f>
        <v>0</v>
      </c>
      <c r="F45" s="2928"/>
      <c r="G45" s="1688"/>
      <c r="H45" s="878"/>
    </row>
    <row r="46" spans="1:8" ht="19" thickBot="1">
      <c r="A46" s="1682"/>
      <c r="B46" s="1683" t="s">
        <v>1094</v>
      </c>
      <c r="C46" s="1686"/>
      <c r="D46" s="1687">
        <f>((D44/'Temps passé'!$J$23)*('Temps passé'!$E$10/'Temps passé'!$J$23))*G44</f>
        <v>0</v>
      </c>
      <c r="E46" s="2929"/>
      <c r="F46" s="2930"/>
      <c r="G46" s="1689"/>
      <c r="H46" s="878"/>
    </row>
    <row r="47" spans="1:8" ht="15" customHeight="1" thickBot="1">
      <c r="A47" s="1002"/>
      <c r="B47" s="1009"/>
      <c r="C47" s="1010"/>
      <c r="D47" s="1010"/>
      <c r="E47" s="1011"/>
      <c r="F47" s="1012"/>
      <c r="G47" s="1013"/>
      <c r="H47" s="878"/>
    </row>
    <row r="48" spans="1:8" ht="36" customHeight="1" thickBot="1">
      <c r="A48" s="2925" t="s">
        <v>711</v>
      </c>
      <c r="B48" s="2926"/>
      <c r="C48" s="894" t="s">
        <v>656</v>
      </c>
      <c r="D48" s="895" t="s">
        <v>655</v>
      </c>
      <c r="E48" s="1006" t="s">
        <v>838</v>
      </c>
      <c r="F48" s="1007" t="s">
        <v>763</v>
      </c>
      <c r="G48" s="1008"/>
      <c r="H48" s="878"/>
    </row>
    <row r="49" spans="1:8" ht="16" customHeight="1">
      <c r="A49" s="474"/>
      <c r="B49" s="338" t="s">
        <v>243</v>
      </c>
      <c r="C49" s="876"/>
      <c r="D49" s="876"/>
      <c r="E49" s="889" t="str">
        <f>IF(C49=0,"",IF(D49/C49&lt;=1,D49/C49,""))</f>
        <v/>
      </c>
      <c r="F49" s="884" t="str">
        <f>IF(C49=0,"",IF(D49/C49&gt;1,D49/C49-1,""))</f>
        <v/>
      </c>
      <c r="G49" s="1539">
        <v>1</v>
      </c>
      <c r="H49" s="878">
        <f>IF(C49+D49&gt;0,G49,0)</f>
        <v>0</v>
      </c>
    </row>
    <row r="50" spans="1:8" ht="16" customHeight="1">
      <c r="A50" s="339"/>
      <c r="B50" s="101" t="s">
        <v>363</v>
      </c>
      <c r="C50" s="874"/>
      <c r="D50" s="874"/>
      <c r="E50" s="889" t="str">
        <f t="shared" ref="E50:E56" si="8">IF(C50=0,"",IF(D50/C50&lt;=1,D50/C50,""))</f>
        <v/>
      </c>
      <c r="F50" s="885" t="str">
        <f t="shared" ref="F50:F56" si="9">IF(C50=0,"",IF(D50/C50&gt;1,D50/C50-1,""))</f>
        <v/>
      </c>
      <c r="G50" s="1537">
        <v>1</v>
      </c>
      <c r="H50" s="878">
        <f>IF(C50+D50&gt;0,G50,0)</f>
        <v>0</v>
      </c>
    </row>
    <row r="51" spans="1:8" ht="16" customHeight="1">
      <c r="A51" s="339"/>
      <c r="B51" s="342" t="s">
        <v>93</v>
      </c>
      <c r="C51" s="874"/>
      <c r="D51" s="874"/>
      <c r="E51" s="889" t="str">
        <f t="shared" si="8"/>
        <v/>
      </c>
      <c r="F51" s="885" t="str">
        <f t="shared" si="9"/>
        <v/>
      </c>
      <c r="G51" s="1537">
        <v>1</v>
      </c>
      <c r="H51" s="878">
        <f>IF(C51+D51&gt;0,G51,0)</f>
        <v>0</v>
      </c>
    </row>
    <row r="52" spans="1:8" ht="16" customHeight="1">
      <c r="A52" s="339"/>
      <c r="B52" s="342" t="s">
        <v>125</v>
      </c>
      <c r="C52" s="874"/>
      <c r="D52" s="874"/>
      <c r="E52" s="889" t="str">
        <f t="shared" si="8"/>
        <v/>
      </c>
      <c r="F52" s="886" t="str">
        <f t="shared" si="9"/>
        <v/>
      </c>
      <c r="G52" s="1537">
        <v>1</v>
      </c>
      <c r="H52" s="878">
        <f>IF(C52+D52&gt;0,G52,0)</f>
        <v>0</v>
      </c>
    </row>
    <row r="53" spans="1:8" ht="16" customHeight="1">
      <c r="A53" s="339"/>
      <c r="B53" s="342"/>
      <c r="C53" s="874"/>
      <c r="D53" s="874"/>
      <c r="E53" s="889" t="str">
        <f t="shared" si="8"/>
        <v/>
      </c>
      <c r="F53" s="886" t="str">
        <f t="shared" si="9"/>
        <v/>
      </c>
      <c r="G53" s="1537">
        <v>1</v>
      </c>
      <c r="H53" s="878"/>
    </row>
    <row r="54" spans="1:8" ht="16" customHeight="1">
      <c r="A54" s="339"/>
      <c r="B54" s="342"/>
      <c r="C54" s="874"/>
      <c r="D54" s="874"/>
      <c r="E54" s="889" t="str">
        <f t="shared" si="8"/>
        <v/>
      </c>
      <c r="F54" s="886" t="str">
        <f t="shared" si="9"/>
        <v/>
      </c>
      <c r="G54" s="1537">
        <v>1</v>
      </c>
      <c r="H54" s="878"/>
    </row>
    <row r="55" spans="1:8" ht="16" customHeight="1">
      <c r="A55" s="339"/>
      <c r="B55" s="342"/>
      <c r="C55" s="874"/>
      <c r="D55" s="874"/>
      <c r="E55" s="889" t="str">
        <f t="shared" si="8"/>
        <v/>
      </c>
      <c r="F55" s="886" t="str">
        <f t="shared" si="9"/>
        <v/>
      </c>
      <c r="G55" s="1537">
        <v>1</v>
      </c>
      <c r="H55" s="878"/>
    </row>
    <row r="56" spans="1:8" ht="16" customHeight="1" thickBot="1">
      <c r="A56" s="339"/>
      <c r="B56" s="872"/>
      <c r="C56" s="875"/>
      <c r="D56" s="875"/>
      <c r="E56" s="890" t="str">
        <f t="shared" si="8"/>
        <v/>
      </c>
      <c r="F56" s="885" t="str">
        <f t="shared" si="9"/>
        <v/>
      </c>
      <c r="G56" s="1537">
        <v>1</v>
      </c>
      <c r="H56" s="878"/>
    </row>
    <row r="57" spans="1:8" ht="25" customHeight="1" thickTop="1" thickBot="1">
      <c r="A57" s="2936" t="b">
        <f>IF((E58-F58)&gt;0,"BALANCE BÉNÉFICIAIRE DE "&amp;TEXT((E58-F58),"0%"),IF((E58-F58)&lt;0,"BALANCE DÉFICITAIRE DE "&amp;TEXT((E58-F58),"0%")))</f>
        <v>0</v>
      </c>
      <c r="B57" s="2937"/>
      <c r="C57" s="2937"/>
      <c r="D57" s="2937"/>
      <c r="E57" s="2937"/>
      <c r="F57" s="2937"/>
      <c r="G57" s="2938"/>
      <c r="H57" s="628">
        <f>IF(C57+D57&gt;0,G57,0)</f>
        <v>0</v>
      </c>
    </row>
    <row r="58" spans="1:8" ht="25" customHeight="1" thickTop="1" thickBot="1">
      <c r="A58" s="2923" t="str">
        <f>A48</f>
        <v>RETOUCHE et CRÉATION NUM.</v>
      </c>
      <c r="B58" s="2924"/>
      <c r="C58" s="1358">
        <f>SUM(C49:C56)</f>
        <v>0</v>
      </c>
      <c r="D58" s="1358">
        <f>SUM(D49:D57)</f>
        <v>0</v>
      </c>
      <c r="E58" s="1717">
        <f>IF(COUNT(E49:E57)=0,0,SUM(E49:E57)/COUNT(E49:E57))</f>
        <v>0</v>
      </c>
      <c r="F58" s="1717">
        <f>IF(COUNT(F49:F57)=0,0,SUM(F49:F57)/COUNT(F49:F57))</f>
        <v>0</v>
      </c>
      <c r="G58" s="1359">
        <f>IF(COUNT(C49:C56)=0,0,SUM(G49:G56)/COUNT(C49:C56))</f>
        <v>0</v>
      </c>
      <c r="H58" s="628"/>
    </row>
    <row r="59" spans="1:8" ht="19" thickBot="1">
      <c r="A59" s="1682"/>
      <c r="B59" s="1683" t="s">
        <v>1093</v>
      </c>
      <c r="C59" s="1684">
        <f>((C58/'Temps passé'!$J$23)*('Temps passé'!$E$10/'Temps passé'!$J$23))*G58</f>
        <v>0</v>
      </c>
      <c r="D59" s="1685"/>
      <c r="E59" s="2927">
        <f>C59-D60</f>
        <v>0</v>
      </c>
      <c r="F59" s="2928"/>
      <c r="G59" s="1688"/>
      <c r="H59" s="628"/>
    </row>
    <row r="60" spans="1:8" ht="19" thickBot="1">
      <c r="A60" s="1682"/>
      <c r="B60" s="1683" t="s">
        <v>1094</v>
      </c>
      <c r="C60" s="1686"/>
      <c r="D60" s="1687">
        <f>((D58/'Temps passé'!$J$23)*('Temps passé'!$E$10/'Temps passé'!$J$23))*G58</f>
        <v>0</v>
      </c>
      <c r="E60" s="2929"/>
      <c r="F60" s="2930"/>
      <c r="G60" s="1689"/>
      <c r="H60" s="628"/>
    </row>
    <row r="61" spans="1:8" ht="59" customHeight="1">
      <c r="A61" s="2915" t="s">
        <v>393</v>
      </c>
      <c r="B61" s="2916"/>
      <c r="C61" s="2916"/>
      <c r="D61" s="2916"/>
      <c r="E61" s="2916"/>
      <c r="F61" s="2916"/>
      <c r="G61" s="2917"/>
    </row>
  </sheetData>
  <mergeCells count="23">
    <mergeCell ref="A14:G14"/>
    <mergeCell ref="A27:G27"/>
    <mergeCell ref="A43:G43"/>
    <mergeCell ref="A57:G57"/>
    <mergeCell ref="C2:C3"/>
    <mergeCell ref="D2:D3"/>
    <mergeCell ref="F2:F3"/>
    <mergeCell ref="G2:G3"/>
    <mergeCell ref="A3:B3"/>
    <mergeCell ref="A2:B2"/>
    <mergeCell ref="A61:G61"/>
    <mergeCell ref="A15:B15"/>
    <mergeCell ref="A19:B19"/>
    <mergeCell ref="A28:B28"/>
    <mergeCell ref="A44:B44"/>
    <mergeCell ref="A58:B58"/>
    <mergeCell ref="A32:B32"/>
    <mergeCell ref="A48:B48"/>
    <mergeCell ref="E16:F17"/>
    <mergeCell ref="E29:F30"/>
    <mergeCell ref="E45:F46"/>
    <mergeCell ref="E59:F60"/>
    <mergeCell ref="G16:G17"/>
  </mergeCells>
  <phoneticPr fontId="50" type="noConversion"/>
  <conditionalFormatting sqref="E45 F49:F56 E58:F58 F4:F13 E47:F47 F19:F26 F32:F42 E28:F28 E44:F44 E15:F15">
    <cfRule type="cellIs" dxfId="38" priority="0" stopIfTrue="1" operator="greaterThan">
      <formula>1</formula>
    </cfRule>
  </conditionalFormatting>
  <pageMargins left="1.0420833333333333" right="0.75000000000000011" top="0.96333333333333337" bottom="0.41875000000000001" header="0.45805555555555555" footer="0.5"/>
  <pageSetup paperSize="10" scale="64" orientation="portrait" horizontalDpi="4294967292" verticalDpi="4294967292"/>
  <headerFooter>
    <oddHeader>&amp;C&amp;"Arial Black,Normal"&amp;24Fiche de production _x000D_&amp;"Arial ,Italique"&amp;15(Ces informations ne sont pas liées à la facture ni au devis)</oddHeader>
  </headerFooter>
  <ignoredErrors>
    <ignoredError sqref="H11:H15 D28 C19 D15 C32 H57:H58 F19 C48 E49:F56 C38:D38 H38 C26:D26 C44:D44 H43:H44 H48:H52 H4:H9 E5:F13 H26:H28 H19:H21 E20:F26 H32:H36 E33:F42 D58" emptyCellReference="1"/>
    <ignoredError sqref="F32" evalError="1" emptyCellReference="1"/>
  </ignoredErrors>
  <extLst>
    <ext xmlns:mx="http://schemas.microsoft.com/office/mac/excel/2008/main" uri="http://schemas.microsoft.com/office/mac/excel/2008/main">
      <mx:PLV Mode="1"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X57"/>
  <sheetViews>
    <sheetView showGridLines="0" view="pageLayout" zoomScale="75" zoomScaleNormal="75" zoomScalePageLayoutView="75" workbookViewId="0">
      <selection activeCell="M1" sqref="M1"/>
    </sheetView>
  </sheetViews>
  <sheetFormatPr baseColWidth="10" defaultRowHeight="18"/>
  <cols>
    <col min="1" max="1" width="37.75" customWidth="1"/>
    <col min="2" max="2" width="21.625" customWidth="1"/>
    <col min="3" max="20" width="13" customWidth="1"/>
    <col min="21" max="21" width="13" style="109" customWidth="1"/>
    <col min="22" max="23" width="13" customWidth="1"/>
  </cols>
  <sheetData>
    <row r="1" spans="1:24" ht="25" customHeight="1" thickBot="1">
      <c r="A1" s="720"/>
      <c r="B1" s="721"/>
      <c r="C1" s="721"/>
      <c r="D1" s="721"/>
      <c r="E1" s="722" t="s">
        <v>843</v>
      </c>
      <c r="F1" s="721"/>
      <c r="G1" s="721"/>
      <c r="H1" s="721"/>
      <c r="I1" s="721"/>
      <c r="J1" s="721"/>
      <c r="K1" s="721"/>
      <c r="L1" s="740" t="s">
        <v>26</v>
      </c>
      <c r="M1" s="752" t="s">
        <v>207</v>
      </c>
      <c r="N1" s="740" t="s">
        <v>598</v>
      </c>
      <c r="O1" s="752"/>
      <c r="P1" s="721"/>
      <c r="Q1" s="721"/>
      <c r="R1" s="721"/>
      <c r="S1" s="721"/>
      <c r="T1" s="721"/>
      <c r="U1" s="721"/>
      <c r="V1" s="721"/>
      <c r="W1" s="723"/>
    </row>
    <row r="2" spans="1:24" ht="44" customHeight="1" thickBot="1">
      <c r="A2" s="2947" t="s">
        <v>942</v>
      </c>
      <c r="B2" s="2948"/>
      <c r="C2" s="422" t="s">
        <v>556</v>
      </c>
      <c r="D2" s="724"/>
      <c r="E2" s="725" t="s">
        <v>1069</v>
      </c>
      <c r="F2" s="724"/>
      <c r="G2" s="724"/>
      <c r="H2" s="724"/>
      <c r="I2" s="724"/>
      <c r="J2" s="724"/>
      <c r="K2" s="724"/>
      <c r="L2" s="724"/>
      <c r="M2" s="724"/>
      <c r="N2" s="724"/>
      <c r="O2" s="724"/>
      <c r="P2" s="724"/>
      <c r="Q2" s="724"/>
      <c r="R2" s="726"/>
      <c r="S2" s="724"/>
      <c r="T2" s="413" t="str">
        <f>IF(B3="j","J -2","S -2")</f>
        <v>S -2</v>
      </c>
      <c r="U2" s="414" t="str">
        <f>IF(B3="j","J -1","S -1")</f>
        <v>S -1</v>
      </c>
      <c r="V2" s="746" t="s">
        <v>611</v>
      </c>
      <c r="W2" s="743"/>
    </row>
    <row r="3" spans="1:24" ht="28" customHeight="1">
      <c r="A3" s="727" t="s">
        <v>436</v>
      </c>
      <c r="B3" s="475" t="s">
        <v>1073</v>
      </c>
      <c r="C3" s="477" t="str">
        <f>IF($B$3="j","jour",IF($B$3="s","semaine","j ou s ?"))</f>
        <v>semaine</v>
      </c>
      <c r="D3" s="478" t="str">
        <f t="shared" ref="D3:V3" si="0">IF($B$3="j","jour",IF($B$3="s","semaine","j ou s ?"))</f>
        <v>semaine</v>
      </c>
      <c r="E3" s="478" t="str">
        <f t="shared" si="0"/>
        <v>semaine</v>
      </c>
      <c r="F3" s="478" t="str">
        <f t="shared" si="0"/>
        <v>semaine</v>
      </c>
      <c r="G3" s="478" t="str">
        <f t="shared" si="0"/>
        <v>semaine</v>
      </c>
      <c r="H3" s="478" t="str">
        <f t="shared" si="0"/>
        <v>semaine</v>
      </c>
      <c r="I3" s="478" t="str">
        <f t="shared" si="0"/>
        <v>semaine</v>
      </c>
      <c r="J3" s="478" t="str">
        <f t="shared" si="0"/>
        <v>semaine</v>
      </c>
      <c r="K3" s="478" t="str">
        <f t="shared" si="0"/>
        <v>semaine</v>
      </c>
      <c r="L3" s="478" t="str">
        <f t="shared" si="0"/>
        <v>semaine</v>
      </c>
      <c r="M3" s="478" t="str">
        <f t="shared" si="0"/>
        <v>semaine</v>
      </c>
      <c r="N3" s="478" t="str">
        <f t="shared" si="0"/>
        <v>semaine</v>
      </c>
      <c r="O3" s="478" t="str">
        <f t="shared" si="0"/>
        <v>semaine</v>
      </c>
      <c r="P3" s="478" t="str">
        <f t="shared" si="0"/>
        <v>semaine</v>
      </c>
      <c r="Q3" s="478" t="str">
        <f t="shared" si="0"/>
        <v>semaine</v>
      </c>
      <c r="R3" s="478" t="str">
        <f t="shared" si="0"/>
        <v>semaine</v>
      </c>
      <c r="S3" s="478" t="str">
        <f t="shared" si="0"/>
        <v>semaine</v>
      </c>
      <c r="T3" s="478" t="str">
        <f t="shared" si="0"/>
        <v>semaine</v>
      </c>
      <c r="U3" s="478" t="str">
        <f t="shared" si="0"/>
        <v>semaine</v>
      </c>
      <c r="V3" s="745" t="str">
        <f t="shared" si="0"/>
        <v>semaine</v>
      </c>
      <c r="W3" s="744"/>
    </row>
    <row r="4" spans="1:24" ht="28" customHeight="1">
      <c r="A4" s="728"/>
      <c r="B4" s="717"/>
      <c r="C4" s="1417" t="str">
        <f>IF($O$1="","",IF($O$1="x",IF($B$3="j",D4-1,IF($B$3="s",D4-7,0))))</f>
        <v/>
      </c>
      <c r="D4" s="1417" t="str">
        <f t="shared" ref="D4:T4" si="1">IF($O$1="","",IF($O$1="x",IF($B$3="j",E4-1,IF($B$3="s",E4-7,0))))</f>
        <v/>
      </c>
      <c r="E4" s="1417" t="str">
        <f t="shared" si="1"/>
        <v/>
      </c>
      <c r="F4" s="1417" t="str">
        <f t="shared" si="1"/>
        <v/>
      </c>
      <c r="G4" s="1417" t="str">
        <f t="shared" si="1"/>
        <v/>
      </c>
      <c r="H4" s="1417" t="str">
        <f t="shared" si="1"/>
        <v/>
      </c>
      <c r="I4" s="1417" t="str">
        <f t="shared" si="1"/>
        <v/>
      </c>
      <c r="J4" s="1417" t="str">
        <f t="shared" si="1"/>
        <v/>
      </c>
      <c r="K4" s="1417" t="str">
        <f t="shared" si="1"/>
        <v/>
      </c>
      <c r="L4" s="1417" t="str">
        <f t="shared" si="1"/>
        <v/>
      </c>
      <c r="M4" s="1417" t="str">
        <f t="shared" si="1"/>
        <v/>
      </c>
      <c r="N4" s="1417" t="str">
        <f t="shared" si="1"/>
        <v/>
      </c>
      <c r="O4" s="1417" t="str">
        <f t="shared" si="1"/>
        <v/>
      </c>
      <c r="P4" s="1417" t="str">
        <f t="shared" si="1"/>
        <v/>
      </c>
      <c r="Q4" s="1417" t="str">
        <f t="shared" si="1"/>
        <v/>
      </c>
      <c r="R4" s="1417" t="str">
        <f t="shared" si="1"/>
        <v/>
      </c>
      <c r="S4" s="1417" t="str">
        <f t="shared" si="1"/>
        <v/>
      </c>
      <c r="T4" s="1417" t="str">
        <f t="shared" si="1"/>
        <v/>
      </c>
      <c r="U4" s="1417" t="str">
        <f>IF($O$1="","",IF($O$1="x",IF($B$3="j",V4-1,IF($B$3="s",V4-7,0))))</f>
        <v/>
      </c>
      <c r="V4" s="734">
        <v>44027</v>
      </c>
      <c r="W4" s="741" t="s">
        <v>1068</v>
      </c>
    </row>
    <row r="5" spans="1:24" s="129" customFormat="1" ht="33" customHeight="1" thickBot="1">
      <c r="A5" s="729" t="s">
        <v>1027</v>
      </c>
      <c r="B5" s="476" t="s">
        <v>967</v>
      </c>
      <c r="C5" s="718">
        <f ca="1">TODAY()</f>
        <v>44649</v>
      </c>
      <c r="D5" s="1418">
        <f ca="1">IF($M$1="","",IF($M$1="x",(IF($B$3="j",(C5+1),(C5+7)))))</f>
        <v>44656</v>
      </c>
      <c r="E5" s="1418">
        <f t="shared" ref="E5:V5" ca="1" si="2">IF($M$1="","",IF($M$1="x",(IF($B$3="j",(D5+1),(D5+7)))))</f>
        <v>44663</v>
      </c>
      <c r="F5" s="1418">
        <f t="shared" ca="1" si="2"/>
        <v>44670</v>
      </c>
      <c r="G5" s="1418">
        <f t="shared" ca="1" si="2"/>
        <v>44677</v>
      </c>
      <c r="H5" s="1418">
        <f t="shared" ca="1" si="2"/>
        <v>44684</v>
      </c>
      <c r="I5" s="1418">
        <f t="shared" ca="1" si="2"/>
        <v>44691</v>
      </c>
      <c r="J5" s="1418">
        <f t="shared" ca="1" si="2"/>
        <v>44698</v>
      </c>
      <c r="K5" s="1418">
        <f t="shared" ca="1" si="2"/>
        <v>44705</v>
      </c>
      <c r="L5" s="1418">
        <f t="shared" ca="1" si="2"/>
        <v>44712</v>
      </c>
      <c r="M5" s="1418">
        <f t="shared" ca="1" si="2"/>
        <v>44719</v>
      </c>
      <c r="N5" s="1418">
        <f t="shared" ca="1" si="2"/>
        <v>44726</v>
      </c>
      <c r="O5" s="1418">
        <f t="shared" ca="1" si="2"/>
        <v>44733</v>
      </c>
      <c r="P5" s="1418">
        <f t="shared" ca="1" si="2"/>
        <v>44740</v>
      </c>
      <c r="Q5" s="1418">
        <f t="shared" ca="1" si="2"/>
        <v>44747</v>
      </c>
      <c r="R5" s="1418">
        <f t="shared" ca="1" si="2"/>
        <v>44754</v>
      </c>
      <c r="S5" s="1418">
        <f t="shared" ca="1" si="2"/>
        <v>44761</v>
      </c>
      <c r="T5" s="1418">
        <f t="shared" ca="1" si="2"/>
        <v>44768</v>
      </c>
      <c r="U5" s="1418">
        <f t="shared" ca="1" si="2"/>
        <v>44775</v>
      </c>
      <c r="V5" s="1418">
        <f t="shared" ca="1" si="2"/>
        <v>44782</v>
      </c>
      <c r="W5" s="742" t="s">
        <v>1088</v>
      </c>
      <c r="X5" s="415"/>
    </row>
    <row r="6" spans="1:24" ht="24" customHeight="1">
      <c r="A6" s="2949" t="s">
        <v>365</v>
      </c>
      <c r="B6" s="2951" t="s">
        <v>769</v>
      </c>
      <c r="C6" s="416"/>
      <c r="D6" s="416"/>
      <c r="E6" s="416"/>
      <c r="F6" s="416"/>
      <c r="G6" s="416"/>
      <c r="H6" s="416"/>
      <c r="I6" s="416"/>
      <c r="J6" s="416"/>
      <c r="K6" s="416"/>
      <c r="L6" s="416"/>
      <c r="M6" s="416"/>
      <c r="N6" s="416"/>
      <c r="O6" s="416"/>
      <c r="P6" s="416"/>
      <c r="Q6" s="416"/>
      <c r="R6" s="416"/>
      <c r="S6" s="416"/>
      <c r="T6" s="416"/>
      <c r="U6" s="416"/>
      <c r="V6" s="735"/>
      <c r="W6" s="747" t="s">
        <v>135</v>
      </c>
    </row>
    <row r="7" spans="1:24" ht="15" customHeight="1" thickBot="1">
      <c r="A7" s="2950"/>
      <c r="B7" s="2952"/>
      <c r="C7" s="417"/>
      <c r="D7" s="417"/>
      <c r="E7" s="417"/>
      <c r="F7" s="417"/>
      <c r="G7" s="417"/>
      <c r="H7" s="417"/>
      <c r="I7" s="417"/>
      <c r="J7" s="417"/>
      <c r="K7" s="417"/>
      <c r="L7" s="417"/>
      <c r="M7" s="417"/>
      <c r="N7" s="417"/>
      <c r="O7" s="417"/>
      <c r="P7" s="417"/>
      <c r="Q7" s="417"/>
      <c r="R7" s="417"/>
      <c r="S7" s="417"/>
      <c r="T7" s="417"/>
      <c r="U7" s="417"/>
      <c r="V7" s="736"/>
      <c r="W7" s="748" t="s">
        <v>731</v>
      </c>
    </row>
    <row r="8" spans="1:24" ht="24" customHeight="1">
      <c r="A8" s="2949" t="s">
        <v>365</v>
      </c>
      <c r="B8" s="2951" t="s">
        <v>1044</v>
      </c>
      <c r="C8" s="416"/>
      <c r="D8" s="416"/>
      <c r="E8" s="416"/>
      <c r="F8" s="416"/>
      <c r="G8" s="416"/>
      <c r="H8" s="416"/>
      <c r="I8" s="416"/>
      <c r="J8" s="416"/>
      <c r="K8" s="416"/>
      <c r="L8" s="416"/>
      <c r="M8" s="416" t="s">
        <v>318</v>
      </c>
      <c r="N8" s="416"/>
      <c r="O8" s="416"/>
      <c r="P8" s="416"/>
      <c r="Q8" s="416"/>
      <c r="R8" s="416"/>
      <c r="S8" s="416"/>
      <c r="T8" s="416"/>
      <c r="U8" s="416"/>
      <c r="V8" s="735"/>
      <c r="W8" s="749" t="s">
        <v>429</v>
      </c>
    </row>
    <row r="9" spans="1:24" ht="15" customHeight="1" thickBot="1">
      <c r="A9" s="2950"/>
      <c r="B9" s="2952"/>
      <c r="C9" s="417"/>
      <c r="D9" s="417"/>
      <c r="E9" s="417"/>
      <c r="F9" s="417"/>
      <c r="G9" s="417"/>
      <c r="H9" s="417"/>
      <c r="I9" s="417"/>
      <c r="J9" s="417"/>
      <c r="K9" s="417"/>
      <c r="L9" s="417"/>
      <c r="M9" s="417"/>
      <c r="N9" s="417"/>
      <c r="O9" s="417"/>
      <c r="P9" s="417"/>
      <c r="Q9" s="417"/>
      <c r="R9" s="417"/>
      <c r="S9" s="417"/>
      <c r="T9" s="417"/>
      <c r="U9" s="417"/>
      <c r="V9" s="736"/>
      <c r="W9" s="748" t="s">
        <v>956</v>
      </c>
    </row>
    <row r="10" spans="1:24" ht="24" customHeight="1">
      <c r="A10" s="2949" t="s">
        <v>365</v>
      </c>
      <c r="B10" s="2951" t="s">
        <v>1044</v>
      </c>
      <c r="C10" s="416"/>
      <c r="D10" s="416"/>
      <c r="E10" s="416"/>
      <c r="F10" s="416"/>
      <c r="G10" s="416"/>
      <c r="H10" s="416"/>
      <c r="I10" s="416"/>
      <c r="J10" s="416"/>
      <c r="K10" s="416"/>
      <c r="L10" s="416"/>
      <c r="M10" s="416"/>
      <c r="N10" s="416"/>
      <c r="O10" s="416"/>
      <c r="P10" s="416"/>
      <c r="Q10" s="416"/>
      <c r="R10" s="416"/>
      <c r="S10" s="416"/>
      <c r="T10" s="416"/>
      <c r="U10" s="416"/>
      <c r="V10" s="735"/>
      <c r="W10" s="749" t="s">
        <v>429</v>
      </c>
    </row>
    <row r="11" spans="1:24" ht="15" customHeight="1" thickBot="1">
      <c r="A11" s="2950"/>
      <c r="B11" s="2952"/>
      <c r="C11" s="417"/>
      <c r="D11" s="417"/>
      <c r="E11" s="417"/>
      <c r="F11" s="417"/>
      <c r="G11" s="417"/>
      <c r="H11" s="417"/>
      <c r="I11" s="417"/>
      <c r="J11" s="417"/>
      <c r="K11" s="417"/>
      <c r="L11" s="417"/>
      <c r="M11" s="417"/>
      <c r="N11" s="417"/>
      <c r="O11" s="417"/>
      <c r="P11" s="417"/>
      <c r="Q11" s="417"/>
      <c r="R11" s="417"/>
      <c r="S11" s="417"/>
      <c r="T11" s="417"/>
      <c r="U11" s="417"/>
      <c r="V11" s="736"/>
      <c r="W11" s="748" t="s">
        <v>451</v>
      </c>
    </row>
    <row r="12" spans="1:24" ht="24" customHeight="1">
      <c r="A12" s="2949" t="s">
        <v>365</v>
      </c>
      <c r="B12" s="2951" t="s">
        <v>1044</v>
      </c>
      <c r="C12" s="416"/>
      <c r="D12" s="416"/>
      <c r="E12" s="416"/>
      <c r="F12" s="416"/>
      <c r="G12" s="416"/>
      <c r="H12" s="416"/>
      <c r="I12" s="416"/>
      <c r="J12" s="416"/>
      <c r="K12" s="416"/>
      <c r="L12" s="416"/>
      <c r="M12" s="416"/>
      <c r="N12" s="416"/>
      <c r="O12" s="416"/>
      <c r="P12" s="416"/>
      <c r="Q12" s="416"/>
      <c r="R12" s="416"/>
      <c r="S12" s="416"/>
      <c r="T12" s="416"/>
      <c r="U12" s="416"/>
      <c r="V12" s="735"/>
      <c r="W12" s="749" t="s">
        <v>429</v>
      </c>
    </row>
    <row r="13" spans="1:24" ht="15" customHeight="1" thickBot="1">
      <c r="A13" s="2950"/>
      <c r="B13" s="2952"/>
      <c r="C13" s="417"/>
      <c r="D13" s="417"/>
      <c r="E13" s="417"/>
      <c r="F13" s="417"/>
      <c r="G13" s="417"/>
      <c r="H13" s="417"/>
      <c r="I13" s="417"/>
      <c r="J13" s="417"/>
      <c r="K13" s="417"/>
      <c r="L13" s="417"/>
      <c r="M13" s="417"/>
      <c r="N13" s="417"/>
      <c r="O13" s="417"/>
      <c r="P13" s="417"/>
      <c r="Q13" s="417"/>
      <c r="R13" s="417"/>
      <c r="S13" s="417"/>
      <c r="T13" s="417"/>
      <c r="U13" s="417"/>
      <c r="V13" s="736"/>
      <c r="W13" s="748" t="s">
        <v>451</v>
      </c>
    </row>
    <row r="14" spans="1:24" ht="24" customHeight="1">
      <c r="A14" s="2949" t="s">
        <v>365</v>
      </c>
      <c r="B14" s="2951" t="s">
        <v>1044</v>
      </c>
      <c r="C14" s="416"/>
      <c r="D14" s="416"/>
      <c r="E14" s="416"/>
      <c r="F14" s="416"/>
      <c r="G14" s="416"/>
      <c r="H14" s="416"/>
      <c r="I14" s="416"/>
      <c r="J14" s="416"/>
      <c r="K14" s="416"/>
      <c r="L14" s="416"/>
      <c r="M14" s="416"/>
      <c r="N14" s="416"/>
      <c r="O14" s="416"/>
      <c r="P14" s="416"/>
      <c r="Q14" s="416"/>
      <c r="R14" s="416"/>
      <c r="S14" s="416"/>
      <c r="T14" s="416"/>
      <c r="U14" s="416"/>
      <c r="V14" s="735"/>
      <c r="W14" s="749" t="s">
        <v>429</v>
      </c>
    </row>
    <row r="15" spans="1:24" ht="15" customHeight="1" thickBot="1">
      <c r="A15" s="2950"/>
      <c r="B15" s="2952"/>
      <c r="C15" s="417"/>
      <c r="D15" s="417"/>
      <c r="E15" s="417"/>
      <c r="F15" s="417"/>
      <c r="G15" s="417"/>
      <c r="H15" s="417"/>
      <c r="I15" s="417"/>
      <c r="J15" s="417"/>
      <c r="K15" s="417"/>
      <c r="L15" s="417"/>
      <c r="M15" s="417"/>
      <c r="N15" s="417"/>
      <c r="O15" s="417"/>
      <c r="P15" s="417"/>
      <c r="Q15" s="417"/>
      <c r="R15" s="417"/>
      <c r="S15" s="417"/>
      <c r="T15" s="417"/>
      <c r="U15" s="417"/>
      <c r="V15" s="736"/>
      <c r="W15" s="748" t="s">
        <v>451</v>
      </c>
    </row>
    <row r="16" spans="1:24" ht="24" customHeight="1">
      <c r="A16" s="2949" t="s">
        <v>365</v>
      </c>
      <c r="B16" s="2951" t="s">
        <v>1044</v>
      </c>
      <c r="C16" s="416"/>
      <c r="D16" s="416"/>
      <c r="E16" s="416"/>
      <c r="F16" s="416"/>
      <c r="G16" s="416"/>
      <c r="H16" s="416"/>
      <c r="I16" s="416"/>
      <c r="J16" s="416"/>
      <c r="K16" s="416"/>
      <c r="L16" s="416"/>
      <c r="M16" s="416"/>
      <c r="N16" s="416"/>
      <c r="O16" s="416"/>
      <c r="P16" s="416"/>
      <c r="Q16" s="416"/>
      <c r="R16" s="416"/>
      <c r="S16" s="416"/>
      <c r="T16" s="416"/>
      <c r="U16" s="416"/>
      <c r="V16" s="735"/>
      <c r="W16" s="749" t="s">
        <v>429</v>
      </c>
    </row>
    <row r="17" spans="1:23" ht="15" customHeight="1" thickBot="1">
      <c r="A17" s="2950"/>
      <c r="B17" s="2952"/>
      <c r="C17" s="417"/>
      <c r="D17" s="417"/>
      <c r="E17" s="417"/>
      <c r="F17" s="417"/>
      <c r="G17" s="417"/>
      <c r="H17" s="417"/>
      <c r="I17" s="417"/>
      <c r="J17" s="417"/>
      <c r="K17" s="417"/>
      <c r="L17" s="417"/>
      <c r="M17" s="417"/>
      <c r="N17" s="417"/>
      <c r="O17" s="417"/>
      <c r="P17" s="417"/>
      <c r="Q17" s="417"/>
      <c r="R17" s="417"/>
      <c r="S17" s="417"/>
      <c r="T17" s="417"/>
      <c r="U17" s="417"/>
      <c r="V17" s="736"/>
      <c r="W17" s="748" t="s">
        <v>451</v>
      </c>
    </row>
    <row r="18" spans="1:23" ht="24" customHeight="1">
      <c r="A18" s="2949" t="s">
        <v>365</v>
      </c>
      <c r="B18" s="2951" t="s">
        <v>1044</v>
      </c>
      <c r="C18" s="416"/>
      <c r="D18" s="416"/>
      <c r="E18" s="416"/>
      <c r="F18" s="416"/>
      <c r="G18" s="416"/>
      <c r="H18" s="416"/>
      <c r="I18" s="416"/>
      <c r="J18" s="416"/>
      <c r="K18" s="416"/>
      <c r="L18" s="416"/>
      <c r="M18" s="416"/>
      <c r="N18" s="416"/>
      <c r="O18" s="416"/>
      <c r="P18" s="416"/>
      <c r="Q18" s="416"/>
      <c r="R18" s="416"/>
      <c r="S18" s="416"/>
      <c r="T18" s="416"/>
      <c r="U18" s="416"/>
      <c r="V18" s="735"/>
      <c r="W18" s="749" t="s">
        <v>429</v>
      </c>
    </row>
    <row r="19" spans="1:23" ht="15" customHeight="1" thickBot="1">
      <c r="A19" s="2950"/>
      <c r="B19" s="2952"/>
      <c r="C19" s="417"/>
      <c r="D19" s="417"/>
      <c r="E19" s="417"/>
      <c r="F19" s="417"/>
      <c r="G19" s="417"/>
      <c r="H19" s="417"/>
      <c r="I19" s="417"/>
      <c r="J19" s="417"/>
      <c r="K19" s="418"/>
      <c r="L19" s="417"/>
      <c r="M19" s="417"/>
      <c r="N19" s="417"/>
      <c r="O19" s="417"/>
      <c r="P19" s="417"/>
      <c r="Q19" s="417"/>
      <c r="R19" s="417"/>
      <c r="S19" s="417"/>
      <c r="T19" s="417"/>
      <c r="U19" s="417"/>
      <c r="V19" s="736"/>
      <c r="W19" s="748" t="s">
        <v>451</v>
      </c>
    </row>
    <row r="20" spans="1:23" ht="24" customHeight="1">
      <c r="A20" s="2949" t="s">
        <v>365</v>
      </c>
      <c r="B20" s="2951" t="s">
        <v>1044</v>
      </c>
      <c r="C20" s="419"/>
      <c r="D20" s="419"/>
      <c r="E20" s="419"/>
      <c r="F20" s="416"/>
      <c r="G20" s="416"/>
      <c r="H20" s="416"/>
      <c r="I20" s="416"/>
      <c r="J20" s="416"/>
      <c r="K20" s="416"/>
      <c r="L20" s="416"/>
      <c r="M20" s="419"/>
      <c r="N20" s="419"/>
      <c r="O20" s="419"/>
      <c r="P20" s="419"/>
      <c r="Q20" s="419"/>
      <c r="R20" s="419"/>
      <c r="S20" s="419"/>
      <c r="T20" s="419"/>
      <c r="U20" s="416"/>
      <c r="V20" s="737"/>
      <c r="W20" s="749" t="s">
        <v>429</v>
      </c>
    </row>
    <row r="21" spans="1:23" ht="15" customHeight="1" thickBot="1">
      <c r="A21" s="2950"/>
      <c r="B21" s="2952"/>
      <c r="C21" s="418"/>
      <c r="D21" s="418"/>
      <c r="E21" s="418"/>
      <c r="F21" s="417"/>
      <c r="G21" s="417"/>
      <c r="H21" s="417"/>
      <c r="I21" s="417"/>
      <c r="J21" s="417"/>
      <c r="K21" s="417"/>
      <c r="L21" s="417"/>
      <c r="M21" s="418"/>
      <c r="N21" s="418"/>
      <c r="O21" s="418"/>
      <c r="P21" s="418"/>
      <c r="Q21" s="418"/>
      <c r="R21" s="418"/>
      <c r="S21" s="418"/>
      <c r="T21" s="418"/>
      <c r="U21" s="417"/>
      <c r="V21" s="738"/>
      <c r="W21" s="748" t="s">
        <v>451</v>
      </c>
    </row>
    <row r="22" spans="1:23" ht="24" customHeight="1">
      <c r="A22" s="2949" t="s">
        <v>365</v>
      </c>
      <c r="B22" s="2951" t="s">
        <v>1044</v>
      </c>
      <c r="C22" s="419"/>
      <c r="D22" s="419"/>
      <c r="E22" s="419"/>
      <c r="F22" s="416"/>
      <c r="G22" s="416"/>
      <c r="H22" s="416"/>
      <c r="I22" s="416"/>
      <c r="J22" s="416"/>
      <c r="K22" s="416"/>
      <c r="L22" s="416"/>
      <c r="M22" s="419"/>
      <c r="N22" s="419"/>
      <c r="O22" s="419"/>
      <c r="P22" s="419"/>
      <c r="Q22" s="419"/>
      <c r="R22" s="419"/>
      <c r="S22" s="419"/>
      <c r="T22" s="419"/>
      <c r="U22" s="416"/>
      <c r="V22" s="737"/>
      <c r="W22" s="749" t="s">
        <v>429</v>
      </c>
    </row>
    <row r="23" spans="1:23" ht="15" customHeight="1" thickBot="1">
      <c r="A23" s="2950"/>
      <c r="B23" s="2952"/>
      <c r="C23" s="418"/>
      <c r="D23" s="418"/>
      <c r="E23" s="418"/>
      <c r="F23" s="417"/>
      <c r="G23" s="417"/>
      <c r="H23" s="417"/>
      <c r="I23" s="417"/>
      <c r="J23" s="417"/>
      <c r="K23" s="417"/>
      <c r="L23" s="417"/>
      <c r="M23" s="418"/>
      <c r="N23" s="418"/>
      <c r="O23" s="418"/>
      <c r="P23" s="418"/>
      <c r="Q23" s="418"/>
      <c r="R23" s="418"/>
      <c r="S23" s="418"/>
      <c r="T23" s="418"/>
      <c r="U23" s="417"/>
      <c r="V23" s="738"/>
      <c r="W23" s="748" t="s">
        <v>451</v>
      </c>
    </row>
    <row r="24" spans="1:23" ht="24" customHeight="1">
      <c r="A24" s="2949" t="s">
        <v>365</v>
      </c>
      <c r="B24" s="2951" t="s">
        <v>1044</v>
      </c>
      <c r="C24" s="416"/>
      <c r="D24" s="416"/>
      <c r="E24" s="416"/>
      <c r="F24" s="416"/>
      <c r="G24" s="416"/>
      <c r="H24" s="416"/>
      <c r="I24" s="416"/>
      <c r="J24" s="416"/>
      <c r="K24" s="416"/>
      <c r="L24" s="416"/>
      <c r="M24" s="419"/>
      <c r="N24" s="419"/>
      <c r="O24" s="419"/>
      <c r="P24" s="419"/>
      <c r="Q24" s="419"/>
      <c r="R24" s="419"/>
      <c r="S24" s="419"/>
      <c r="T24" s="419"/>
      <c r="U24" s="416"/>
      <c r="V24" s="737"/>
      <c r="W24" s="749" t="s">
        <v>429</v>
      </c>
    </row>
    <row r="25" spans="1:23" ht="15" customHeight="1" thickBot="1">
      <c r="A25" s="2950"/>
      <c r="B25" s="2952"/>
      <c r="C25" s="417"/>
      <c r="D25" s="417"/>
      <c r="E25" s="417"/>
      <c r="F25" s="417"/>
      <c r="G25" s="417"/>
      <c r="H25" s="417"/>
      <c r="I25" s="417"/>
      <c r="J25" s="417"/>
      <c r="K25" s="417"/>
      <c r="L25" s="417"/>
      <c r="M25" s="418"/>
      <c r="N25" s="418"/>
      <c r="O25" s="418"/>
      <c r="P25" s="418"/>
      <c r="Q25" s="418"/>
      <c r="R25" s="418"/>
      <c r="S25" s="418"/>
      <c r="T25" s="418"/>
      <c r="U25" s="417"/>
      <c r="V25" s="738"/>
      <c r="W25" s="748" t="s">
        <v>451</v>
      </c>
    </row>
    <row r="26" spans="1:23" ht="24" customHeight="1">
      <c r="A26" s="2949" t="s">
        <v>365</v>
      </c>
      <c r="B26" s="2951" t="s">
        <v>1044</v>
      </c>
      <c r="C26" s="419"/>
      <c r="D26" s="419"/>
      <c r="E26" s="419"/>
      <c r="F26" s="416"/>
      <c r="G26" s="416"/>
      <c r="H26" s="416"/>
      <c r="I26" s="416"/>
      <c r="J26" s="416"/>
      <c r="K26" s="416"/>
      <c r="L26" s="416"/>
      <c r="M26" s="419"/>
      <c r="N26" s="419"/>
      <c r="O26" s="419"/>
      <c r="P26" s="419"/>
      <c r="Q26" s="419"/>
      <c r="R26" s="419"/>
      <c r="S26" s="419"/>
      <c r="T26" s="419"/>
      <c r="U26" s="416"/>
      <c r="V26" s="737"/>
      <c r="W26" s="749" t="s">
        <v>429</v>
      </c>
    </row>
    <row r="27" spans="1:23" ht="15" customHeight="1" thickBot="1">
      <c r="A27" s="2950"/>
      <c r="B27" s="2952"/>
      <c r="C27" s="418"/>
      <c r="D27" s="418"/>
      <c r="E27" s="418"/>
      <c r="F27" s="417"/>
      <c r="G27" s="417"/>
      <c r="H27" s="417"/>
      <c r="I27" s="417"/>
      <c r="J27" s="417"/>
      <c r="K27" s="417"/>
      <c r="L27" s="417"/>
      <c r="M27" s="418"/>
      <c r="N27" s="418"/>
      <c r="O27" s="418"/>
      <c r="P27" s="418"/>
      <c r="Q27" s="418"/>
      <c r="R27" s="418"/>
      <c r="S27" s="418"/>
      <c r="T27" s="418"/>
      <c r="U27" s="417"/>
      <c r="V27" s="738"/>
      <c r="W27" s="748" t="s">
        <v>451</v>
      </c>
    </row>
    <row r="28" spans="1:23" ht="24" customHeight="1">
      <c r="A28" s="2949" t="s">
        <v>365</v>
      </c>
      <c r="B28" s="2951" t="s">
        <v>1044</v>
      </c>
      <c r="C28" s="419"/>
      <c r="D28" s="419"/>
      <c r="E28" s="419"/>
      <c r="F28" s="416"/>
      <c r="G28" s="416"/>
      <c r="H28" s="416"/>
      <c r="I28" s="416"/>
      <c r="J28" s="416"/>
      <c r="K28" s="416"/>
      <c r="L28" s="416"/>
      <c r="M28" s="419"/>
      <c r="N28" s="419"/>
      <c r="O28" s="419"/>
      <c r="P28" s="419"/>
      <c r="Q28" s="419"/>
      <c r="R28" s="419"/>
      <c r="S28" s="419"/>
      <c r="T28" s="419"/>
      <c r="U28" s="416"/>
      <c r="V28" s="737"/>
      <c r="W28" s="749" t="s">
        <v>429</v>
      </c>
    </row>
    <row r="29" spans="1:23" ht="15" customHeight="1" thickBot="1">
      <c r="A29" s="2950"/>
      <c r="B29" s="2952"/>
      <c r="C29" s="418"/>
      <c r="D29" s="418"/>
      <c r="E29" s="418"/>
      <c r="F29" s="417"/>
      <c r="G29" s="417"/>
      <c r="H29" s="417"/>
      <c r="I29" s="417"/>
      <c r="J29" s="417"/>
      <c r="K29" s="417"/>
      <c r="L29" s="417"/>
      <c r="M29" s="418"/>
      <c r="N29" s="418"/>
      <c r="O29" s="418"/>
      <c r="P29" s="418"/>
      <c r="Q29" s="418"/>
      <c r="R29" s="418"/>
      <c r="S29" s="418"/>
      <c r="T29" s="418"/>
      <c r="U29" s="417"/>
      <c r="V29" s="738"/>
      <c r="W29" s="748" t="s">
        <v>956</v>
      </c>
    </row>
    <row r="30" spans="1:23" ht="24" customHeight="1">
      <c r="A30" s="2949" t="s">
        <v>365</v>
      </c>
      <c r="B30" s="2951" t="s">
        <v>1044</v>
      </c>
      <c r="C30" s="419"/>
      <c r="D30" s="419"/>
      <c r="E30" s="419"/>
      <c r="F30" s="416"/>
      <c r="G30" s="416"/>
      <c r="H30" s="416"/>
      <c r="I30" s="416"/>
      <c r="J30" s="416"/>
      <c r="K30" s="416"/>
      <c r="L30" s="416"/>
      <c r="M30" s="419"/>
      <c r="N30" s="419"/>
      <c r="O30" s="419"/>
      <c r="P30" s="419"/>
      <c r="Q30" s="419"/>
      <c r="R30" s="419"/>
      <c r="S30" s="419"/>
      <c r="T30" s="419"/>
      <c r="U30" s="416"/>
      <c r="V30" s="737"/>
      <c r="W30" s="749" t="s">
        <v>429</v>
      </c>
    </row>
    <row r="31" spans="1:23" ht="14" customHeight="1" thickBot="1">
      <c r="A31" s="2950"/>
      <c r="B31" s="2952"/>
      <c r="C31" s="288"/>
      <c r="D31" s="288"/>
      <c r="E31" s="288"/>
      <c r="F31" s="420"/>
      <c r="G31" s="420"/>
      <c r="H31" s="420"/>
      <c r="I31" s="420"/>
      <c r="J31" s="420"/>
      <c r="K31" s="420"/>
      <c r="L31" s="420"/>
      <c r="M31" s="288"/>
      <c r="N31" s="288"/>
      <c r="O31" s="288"/>
      <c r="P31" s="288"/>
      <c r="Q31" s="288"/>
      <c r="R31" s="288"/>
      <c r="S31" s="288"/>
      <c r="T31" s="288"/>
      <c r="U31" s="420"/>
      <c r="V31" s="739"/>
      <c r="W31" s="748" t="s">
        <v>956</v>
      </c>
    </row>
    <row r="32" spans="1:23" ht="24" customHeight="1">
      <c r="A32" s="2949" t="s">
        <v>365</v>
      </c>
      <c r="B32" s="2951" t="s">
        <v>1044</v>
      </c>
      <c r="C32" s="419"/>
      <c r="D32" s="419"/>
      <c r="E32" s="419"/>
      <c r="F32" s="416"/>
      <c r="G32" s="416"/>
      <c r="H32" s="416"/>
      <c r="I32" s="416"/>
      <c r="J32" s="416"/>
      <c r="K32" s="416"/>
      <c r="L32" s="416"/>
      <c r="M32" s="419"/>
      <c r="N32" s="419"/>
      <c r="O32" s="419"/>
      <c r="P32" s="419"/>
      <c r="Q32" s="419"/>
      <c r="R32" s="419"/>
      <c r="S32" s="419"/>
      <c r="T32" s="419"/>
      <c r="U32" s="416"/>
      <c r="V32" s="737"/>
      <c r="W32" s="749" t="s">
        <v>429</v>
      </c>
    </row>
    <row r="33" spans="1:23" ht="17" customHeight="1" thickBot="1">
      <c r="A33" s="2950"/>
      <c r="B33" s="2962"/>
      <c r="C33" s="418"/>
      <c r="D33" s="418"/>
      <c r="E33" s="418"/>
      <c r="F33" s="417"/>
      <c r="G33" s="417"/>
      <c r="H33" s="417"/>
      <c r="I33" s="417"/>
      <c r="J33" s="417"/>
      <c r="K33" s="417"/>
      <c r="L33" s="417"/>
      <c r="M33" s="418"/>
      <c r="N33" s="418"/>
      <c r="O33" s="418"/>
      <c r="P33" s="418"/>
      <c r="Q33" s="418"/>
      <c r="R33" s="418"/>
      <c r="S33" s="418"/>
      <c r="T33" s="418"/>
      <c r="U33" s="417"/>
      <c r="V33" s="738"/>
      <c r="W33" s="748" t="s">
        <v>956</v>
      </c>
    </row>
    <row r="34" spans="1:23">
      <c r="A34" s="730"/>
      <c r="B34" s="125"/>
      <c r="C34" s="719"/>
      <c r="D34" s="719"/>
      <c r="E34" s="719"/>
      <c r="F34" s="719"/>
      <c r="G34" s="719"/>
      <c r="H34" s="719"/>
      <c r="I34" s="719"/>
      <c r="J34" s="719"/>
      <c r="K34" s="719"/>
      <c r="L34" s="719"/>
      <c r="M34" s="719"/>
      <c r="N34" s="719"/>
      <c r="O34" s="719"/>
      <c r="P34" s="719"/>
      <c r="Q34" s="719"/>
      <c r="R34" s="719"/>
      <c r="S34" s="719"/>
      <c r="T34" s="719"/>
      <c r="U34" s="719"/>
      <c r="V34" s="719"/>
      <c r="W34" s="743"/>
    </row>
    <row r="35" spans="1:23" ht="34" customHeight="1">
      <c r="A35" s="731"/>
      <c r="B35" s="125"/>
      <c r="C35" s="2953" t="s">
        <v>406</v>
      </c>
      <c r="D35" s="2954"/>
      <c r="E35" s="2954"/>
      <c r="F35" s="2954"/>
      <c r="G35" s="2954"/>
      <c r="H35" s="2954"/>
      <c r="I35" s="2954"/>
      <c r="J35" s="2954"/>
      <c r="K35" s="2954"/>
      <c r="L35" s="2954"/>
      <c r="M35" s="2954"/>
      <c r="N35" s="2954"/>
      <c r="O35" s="2954"/>
      <c r="P35" s="2954"/>
      <c r="Q35" s="2954"/>
      <c r="R35" s="2954"/>
      <c r="S35" s="2954"/>
      <c r="T35" s="2954"/>
      <c r="U35" s="2954"/>
      <c r="V35" s="2955"/>
      <c r="W35" s="750"/>
    </row>
    <row r="36" spans="1:23" ht="34" customHeight="1">
      <c r="A36" s="731"/>
      <c r="B36" s="125"/>
      <c r="C36" s="2959" t="s">
        <v>909</v>
      </c>
      <c r="D36" s="2960"/>
      <c r="E36" s="2960"/>
      <c r="F36" s="2960"/>
      <c r="G36" s="2960"/>
      <c r="H36" s="2960"/>
      <c r="I36" s="2960"/>
      <c r="J36" s="2960"/>
      <c r="K36" s="2960"/>
      <c r="L36" s="2960"/>
      <c r="M36" s="2960"/>
      <c r="N36" s="2960"/>
      <c r="O36" s="2960"/>
      <c r="P36" s="2960"/>
      <c r="Q36" s="2960"/>
      <c r="R36" s="2960"/>
      <c r="S36" s="2960"/>
      <c r="T36" s="2960"/>
      <c r="U36" s="2960"/>
      <c r="V36" s="2961"/>
      <c r="W36" s="750"/>
    </row>
    <row r="37" spans="1:23" ht="34" customHeight="1" thickBot="1">
      <c r="A37" s="732"/>
      <c r="B37" s="733"/>
      <c r="C37" s="2956" t="s">
        <v>252</v>
      </c>
      <c r="D37" s="2957"/>
      <c r="E37" s="2957"/>
      <c r="F37" s="2957"/>
      <c r="G37" s="2957"/>
      <c r="H37" s="2957"/>
      <c r="I37" s="2957"/>
      <c r="J37" s="2957"/>
      <c r="K37" s="2957"/>
      <c r="L37" s="2957"/>
      <c r="M37" s="2957"/>
      <c r="N37" s="2957"/>
      <c r="O37" s="2957"/>
      <c r="P37" s="2957"/>
      <c r="Q37" s="2957"/>
      <c r="R37" s="2957"/>
      <c r="S37" s="2957"/>
      <c r="T37" s="2957"/>
      <c r="U37" s="2957"/>
      <c r="V37" s="2958"/>
      <c r="W37" s="751"/>
    </row>
    <row r="38" spans="1:23" ht="24" customHeight="1">
      <c r="A38" s="412"/>
    </row>
    <row r="39" spans="1:23" ht="24" customHeight="1">
      <c r="A39" s="412"/>
    </row>
    <row r="40" spans="1:23" ht="24" customHeight="1">
      <c r="A40" s="412"/>
    </row>
    <row r="41" spans="1:23" ht="24" customHeight="1">
      <c r="A41" s="412"/>
    </row>
    <row r="42" spans="1:23" ht="24" customHeight="1">
      <c r="A42" s="412"/>
    </row>
    <row r="43" spans="1:23" ht="24" customHeight="1">
      <c r="A43" s="412"/>
    </row>
    <row r="44" spans="1:23" ht="24" customHeight="1">
      <c r="A44" s="412"/>
    </row>
    <row r="45" spans="1:23" ht="24" customHeight="1">
      <c r="A45" s="412"/>
    </row>
    <row r="46" spans="1:23" ht="24" customHeight="1">
      <c r="A46" s="412"/>
    </row>
    <row r="47" spans="1:23" ht="24" customHeight="1">
      <c r="A47" s="412"/>
    </row>
    <row r="48" spans="1:23" ht="24" customHeight="1">
      <c r="A48" s="412"/>
    </row>
    <row r="49" spans="1:1" ht="24" customHeight="1">
      <c r="A49" s="412"/>
    </row>
    <row r="50" spans="1:1" ht="24" customHeight="1">
      <c r="A50" s="412"/>
    </row>
    <row r="51" spans="1:1" ht="24" customHeight="1">
      <c r="A51" s="412"/>
    </row>
    <row r="52" spans="1:1" ht="24" customHeight="1">
      <c r="A52" s="412"/>
    </row>
    <row r="53" spans="1:1" ht="24" customHeight="1">
      <c r="A53" s="412"/>
    </row>
    <row r="54" spans="1:1" ht="24" customHeight="1">
      <c r="A54" s="412"/>
    </row>
    <row r="55" spans="1:1" ht="24" customHeight="1">
      <c r="A55" s="412"/>
    </row>
    <row r="56" spans="1:1" ht="24" customHeight="1">
      <c r="A56" s="412"/>
    </row>
    <row r="57" spans="1:1" ht="24" customHeight="1">
      <c r="A57" s="412"/>
    </row>
  </sheetData>
  <mergeCells count="32">
    <mergeCell ref="C35:V35"/>
    <mergeCell ref="C37:V37"/>
    <mergeCell ref="A22:A23"/>
    <mergeCell ref="B22:B23"/>
    <mergeCell ref="A30:A31"/>
    <mergeCell ref="B30:B31"/>
    <mergeCell ref="C36:V36"/>
    <mergeCell ref="A32:A33"/>
    <mergeCell ref="B32:B33"/>
    <mergeCell ref="A24:A25"/>
    <mergeCell ref="B24:B25"/>
    <mergeCell ref="A26:A27"/>
    <mergeCell ref="B26:B27"/>
    <mergeCell ref="A28:A29"/>
    <mergeCell ref="B28:B29"/>
    <mergeCell ref="A16:A17"/>
    <mergeCell ref="B16:B17"/>
    <mergeCell ref="A18:A19"/>
    <mergeCell ref="B18:B19"/>
    <mergeCell ref="A20:A21"/>
    <mergeCell ref="B20:B21"/>
    <mergeCell ref="A10:A11"/>
    <mergeCell ref="B10:B11"/>
    <mergeCell ref="A12:A13"/>
    <mergeCell ref="B12:B13"/>
    <mergeCell ref="A14:A15"/>
    <mergeCell ref="B14:B15"/>
    <mergeCell ref="A2:B2"/>
    <mergeCell ref="A6:A7"/>
    <mergeCell ref="B6:B7"/>
    <mergeCell ref="A8:A9"/>
    <mergeCell ref="B8:B9"/>
  </mergeCells>
  <phoneticPr fontId="50" type="noConversion"/>
  <conditionalFormatting sqref="C7:V7">
    <cfRule type="cellIs" dxfId="37" priority="0" stopIfTrue="1" operator="equal">
      <formula>"x"</formula>
    </cfRule>
  </conditionalFormatting>
  <conditionalFormatting sqref="C9:V9">
    <cfRule type="cellIs" dxfId="36" priority="1" stopIfTrue="1" operator="equal">
      <formula>"x"</formula>
    </cfRule>
  </conditionalFormatting>
  <conditionalFormatting sqref="C11:V11">
    <cfRule type="cellIs" dxfId="35" priority="2" stopIfTrue="1" operator="equal">
      <formula>"x"</formula>
    </cfRule>
  </conditionalFormatting>
  <conditionalFormatting sqref="C13:V13">
    <cfRule type="cellIs" dxfId="34" priority="3" stopIfTrue="1" operator="equal">
      <formula>"x"</formula>
    </cfRule>
  </conditionalFormatting>
  <conditionalFormatting sqref="C15:V15">
    <cfRule type="cellIs" dxfId="33" priority="4" stopIfTrue="1" operator="equal">
      <formula>"x"</formula>
    </cfRule>
  </conditionalFormatting>
  <conditionalFormatting sqref="C17:V17">
    <cfRule type="cellIs" dxfId="32" priority="5" stopIfTrue="1" operator="equal">
      <formula>"x"</formula>
    </cfRule>
  </conditionalFormatting>
  <conditionalFormatting sqref="L19:V19 C19:J19">
    <cfRule type="cellIs" dxfId="31" priority="6" stopIfTrue="1" operator="equal">
      <formula>"x"</formula>
    </cfRule>
  </conditionalFormatting>
  <conditionalFormatting sqref="C21:V21">
    <cfRule type="cellIs" dxfId="30" priority="7" stopIfTrue="1" operator="equal">
      <formula>"x"</formula>
    </cfRule>
  </conditionalFormatting>
  <conditionalFormatting sqref="C23:V23">
    <cfRule type="cellIs" dxfId="29" priority="8" stopIfTrue="1" operator="equal">
      <formula>"x"</formula>
    </cfRule>
  </conditionalFormatting>
  <conditionalFormatting sqref="C25:V25">
    <cfRule type="cellIs" dxfId="28" priority="9" stopIfTrue="1" operator="equal">
      <formula>"x"</formula>
    </cfRule>
  </conditionalFormatting>
  <conditionalFormatting sqref="C6:V6">
    <cfRule type="cellIs" dxfId="27" priority="10" stopIfTrue="1" operator="equal">
      <formula>"x"</formula>
    </cfRule>
    <cfRule type="cellIs" dxfId="26" priority="10" stopIfTrue="1" operator="equal">
      <formula>"t"</formula>
    </cfRule>
  </conditionalFormatting>
  <conditionalFormatting sqref="C8:V8">
    <cfRule type="cellIs" dxfId="25" priority="11" stopIfTrue="1" operator="equal">
      <formula>"x"</formula>
    </cfRule>
    <cfRule type="cellIs" dxfId="24" priority="11" stopIfTrue="1" operator="equal">
      <formula>"t"</formula>
    </cfRule>
  </conditionalFormatting>
  <conditionalFormatting sqref="C10:V10">
    <cfRule type="cellIs" dxfId="23" priority="12" stopIfTrue="1" operator="equal">
      <formula>"x"</formula>
    </cfRule>
    <cfRule type="cellIs" dxfId="22" priority="12" stopIfTrue="1" operator="equal">
      <formula>"t"</formula>
    </cfRule>
  </conditionalFormatting>
  <conditionalFormatting sqref="C12:V12">
    <cfRule type="cellIs" dxfId="21" priority="13" stopIfTrue="1" operator="equal">
      <formula>"x"</formula>
    </cfRule>
    <cfRule type="cellIs" dxfId="20" priority="13" stopIfTrue="1" operator="equal">
      <formula>"t"</formula>
    </cfRule>
  </conditionalFormatting>
  <conditionalFormatting sqref="C14:V14">
    <cfRule type="cellIs" dxfId="19" priority="14" stopIfTrue="1" operator="equal">
      <formula>"x"</formula>
    </cfRule>
    <cfRule type="cellIs" dxfId="18" priority="14" stopIfTrue="1" operator="equal">
      <formula>"t"</formula>
    </cfRule>
  </conditionalFormatting>
  <conditionalFormatting sqref="C16:V16">
    <cfRule type="cellIs" dxfId="17" priority="15" stopIfTrue="1" operator="equal">
      <formula>"x"</formula>
    </cfRule>
    <cfRule type="cellIs" dxfId="16" priority="15" stopIfTrue="1" operator="equal">
      <formula>"t"</formula>
    </cfRule>
  </conditionalFormatting>
  <conditionalFormatting sqref="C18:V18">
    <cfRule type="cellIs" dxfId="15" priority="16" stopIfTrue="1" operator="equal">
      <formula>"x"</formula>
    </cfRule>
    <cfRule type="cellIs" dxfId="14" priority="16" stopIfTrue="1" operator="equal">
      <formula>"t"</formula>
    </cfRule>
  </conditionalFormatting>
  <conditionalFormatting sqref="C20:V20">
    <cfRule type="cellIs" dxfId="13" priority="17" stopIfTrue="1" operator="equal">
      <formula>"x"</formula>
    </cfRule>
    <cfRule type="cellIs" dxfId="12" priority="17" stopIfTrue="1" operator="equal">
      <formula>"t"</formula>
    </cfRule>
  </conditionalFormatting>
  <conditionalFormatting sqref="C22:V22">
    <cfRule type="cellIs" dxfId="11" priority="18" stopIfTrue="1" operator="equal">
      <formula>"x"</formula>
    </cfRule>
    <cfRule type="cellIs" dxfId="10" priority="18" stopIfTrue="1" operator="equal">
      <formula>"t"</formula>
    </cfRule>
  </conditionalFormatting>
  <conditionalFormatting sqref="C24:V24">
    <cfRule type="cellIs" dxfId="9" priority="19" stopIfTrue="1" operator="equal">
      <formula>"x"</formula>
    </cfRule>
    <cfRule type="cellIs" dxfId="8" priority="19" stopIfTrue="1" operator="equal">
      <formula>"t"</formula>
    </cfRule>
  </conditionalFormatting>
  <conditionalFormatting sqref="C26:V26">
    <cfRule type="cellIs" dxfId="7" priority="20" stopIfTrue="1" operator="equal">
      <formula>"x"</formula>
    </cfRule>
    <cfRule type="cellIs" dxfId="6" priority="20" stopIfTrue="1" operator="equal">
      <formula>"t"</formula>
    </cfRule>
  </conditionalFormatting>
  <conditionalFormatting sqref="C30:V30">
    <cfRule type="cellIs" dxfId="5" priority="21" stopIfTrue="1" operator="equal">
      <formula>"x"</formula>
    </cfRule>
    <cfRule type="cellIs" dxfId="4" priority="21" stopIfTrue="1" operator="equal">
      <formula>"t"</formula>
    </cfRule>
  </conditionalFormatting>
  <conditionalFormatting sqref="C28:V28">
    <cfRule type="cellIs" dxfId="3" priority="22" stopIfTrue="1" operator="equal">
      <formula>"x"</formula>
    </cfRule>
    <cfRule type="cellIs" dxfId="2" priority="22" stopIfTrue="1" operator="equal">
      <formula>"t"</formula>
    </cfRule>
  </conditionalFormatting>
  <conditionalFormatting sqref="C32:V32">
    <cfRule type="cellIs" dxfId="1" priority="23" stopIfTrue="1" operator="equal">
      <formula>"x"</formula>
    </cfRule>
    <cfRule type="cellIs" dxfId="0" priority="23" stopIfTrue="1" operator="equal">
      <formula>"t"</formula>
    </cfRule>
  </conditionalFormatting>
  <pageMargins left="0.75000000000000011" right="0.75000000000000011" top="1.88" bottom="1" header="1.5533333333333332" footer="0.5"/>
  <pageSetup paperSize="10" scale="27" orientation="landscape" horizontalDpi="4294967292" verticalDpi="4294967292"/>
  <headerFooter>
    <oddHeader>&amp;C&amp;"Arial,Gras"&amp;18On peut compter ou décompter en inscrivant la date de début ou la date de fin du projet par progression en jour ou semaine</oddHeader>
  </headerFooter>
  <ignoredErrors>
    <ignoredError sqref="D5:V5 C4:T4" emptyCellReference="1"/>
  </ignoredErrors>
  <extLst>
    <ext xmlns:mx="http://schemas.microsoft.com/office/mac/excel/2008/main" uri="http://schemas.microsoft.com/office/mac/excel/2008/main">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T316"/>
  <sheetViews>
    <sheetView showGridLines="0" workbookViewId="0">
      <selection activeCell="L8" sqref="L8"/>
    </sheetView>
  </sheetViews>
  <sheetFormatPr baseColWidth="10" defaultColWidth="11.25" defaultRowHeight="15"/>
  <cols>
    <col min="1" max="1" width="13.5" style="186" customWidth="1"/>
    <col min="2" max="2" width="24" style="185" customWidth="1"/>
    <col min="3" max="3" width="22.25" style="185" customWidth="1"/>
    <col min="4" max="4" width="25.125" style="186" customWidth="1"/>
    <col min="5" max="5" width="11" style="188" customWidth="1"/>
    <col min="6" max="6" width="20.25" style="186" customWidth="1"/>
    <col min="7" max="7" width="14.75" style="220" customWidth="1"/>
    <col min="8" max="8" width="14.625" style="187" customWidth="1"/>
    <col min="9" max="9" width="22.125" style="224" customWidth="1"/>
    <col min="10" max="10" width="25.75" style="188" customWidth="1"/>
    <col min="11" max="11" width="23.5" style="223" customWidth="1"/>
    <col min="12" max="13" width="30.125" style="186" customWidth="1"/>
    <col min="14" max="16384" width="11.25" style="186"/>
  </cols>
  <sheetData>
    <row r="1" spans="1:254" ht="21">
      <c r="A1" s="191" t="s">
        <v>965</v>
      </c>
      <c r="B1" s="219" t="s">
        <v>270</v>
      </c>
      <c r="C1" s="219" t="s">
        <v>730</v>
      </c>
      <c r="D1" s="219" t="s">
        <v>828</v>
      </c>
      <c r="E1" s="219" t="s">
        <v>829</v>
      </c>
      <c r="F1" s="219" t="s">
        <v>57</v>
      </c>
      <c r="G1" s="219" t="s">
        <v>954</v>
      </c>
      <c r="H1" s="219" t="s">
        <v>845</v>
      </c>
      <c r="I1" s="219" t="s">
        <v>360</v>
      </c>
      <c r="J1" s="219" t="s">
        <v>361</v>
      </c>
      <c r="K1" s="221" t="s">
        <v>133</v>
      </c>
      <c r="L1" s="219" t="s">
        <v>60</v>
      </c>
      <c r="M1" s="219" t="s">
        <v>774</v>
      </c>
      <c r="N1" s="186" t="s">
        <v>377</v>
      </c>
      <c r="O1" s="186" t="s">
        <v>737</v>
      </c>
      <c r="P1" s="186" t="s">
        <v>385</v>
      </c>
      <c r="Q1" s="186" t="s">
        <v>866</v>
      </c>
      <c r="R1" s="186" t="s">
        <v>867</v>
      </c>
      <c r="S1" s="186" t="s">
        <v>610</v>
      </c>
      <c r="T1" s="186" t="s">
        <v>535</v>
      </c>
      <c r="U1" s="186" t="s">
        <v>604</v>
      </c>
      <c r="V1" s="186" t="s">
        <v>114</v>
      </c>
      <c r="W1" s="186" t="s">
        <v>1076</v>
      </c>
      <c r="X1" s="186" t="s">
        <v>856</v>
      </c>
      <c r="Y1" s="186" t="s">
        <v>467</v>
      </c>
      <c r="Z1" s="186" t="s">
        <v>822</v>
      </c>
      <c r="AA1" s="186" t="s">
        <v>391</v>
      </c>
      <c r="AB1" s="186" t="s">
        <v>613</v>
      </c>
      <c r="AC1" s="186" t="s">
        <v>614</v>
      </c>
      <c r="AD1" s="186" t="s">
        <v>415</v>
      </c>
      <c r="AE1" s="186" t="s">
        <v>703</v>
      </c>
      <c r="AF1" s="186" t="s">
        <v>704</v>
      </c>
      <c r="AG1" s="186" t="s">
        <v>483</v>
      </c>
      <c r="AH1" s="186" t="s">
        <v>865</v>
      </c>
      <c r="AI1" s="186" t="s">
        <v>626</v>
      </c>
      <c r="AJ1" s="186" t="s">
        <v>333</v>
      </c>
      <c r="AK1" s="186" t="s">
        <v>512</v>
      </c>
      <c r="AL1" s="186" t="s">
        <v>513</v>
      </c>
      <c r="AM1" s="186" t="s">
        <v>81</v>
      </c>
      <c r="AN1" s="186" t="s">
        <v>551</v>
      </c>
      <c r="AO1" s="186" t="s">
        <v>307</v>
      </c>
      <c r="AP1" s="186" t="s">
        <v>996</v>
      </c>
      <c r="AQ1" s="186" t="s">
        <v>55</v>
      </c>
      <c r="AR1" s="186" t="s">
        <v>550</v>
      </c>
      <c r="AS1" s="186" t="s">
        <v>671</v>
      </c>
      <c r="AT1" s="186" t="s">
        <v>662</v>
      </c>
      <c r="AU1" s="186" t="s">
        <v>520</v>
      </c>
      <c r="AV1" s="186" t="s">
        <v>521</v>
      </c>
      <c r="AW1" s="186" t="s">
        <v>762</v>
      </c>
      <c r="AX1" s="186" t="s">
        <v>734</v>
      </c>
      <c r="AY1" s="186" t="s">
        <v>293</v>
      </c>
      <c r="AZ1" s="186" t="s">
        <v>545</v>
      </c>
      <c r="BA1" s="186" t="s">
        <v>648</v>
      </c>
      <c r="BB1" s="186" t="s">
        <v>579</v>
      </c>
      <c r="BC1" s="186" t="s">
        <v>498</v>
      </c>
      <c r="BD1" s="186" t="s">
        <v>499</v>
      </c>
      <c r="BE1" s="186" t="s">
        <v>681</v>
      </c>
      <c r="BF1" s="186" t="s">
        <v>915</v>
      </c>
      <c r="BG1" s="186" t="s">
        <v>369</v>
      </c>
      <c r="BH1" s="186" t="s">
        <v>777</v>
      </c>
      <c r="BI1" s="186" t="s">
        <v>1028</v>
      </c>
      <c r="BJ1" s="186" t="s">
        <v>116</v>
      </c>
      <c r="BK1" s="186" t="s">
        <v>707</v>
      </c>
      <c r="BL1" s="186" t="s">
        <v>294</v>
      </c>
      <c r="BM1" s="186" t="s">
        <v>459</v>
      </c>
      <c r="BN1" s="186" t="s">
        <v>781</v>
      </c>
      <c r="BO1" s="186" t="s">
        <v>826</v>
      </c>
      <c r="BP1" s="186" t="s">
        <v>827</v>
      </c>
      <c r="BQ1" s="186" t="s">
        <v>639</v>
      </c>
      <c r="BR1" s="186" t="s">
        <v>188</v>
      </c>
      <c r="BS1" s="186" t="s">
        <v>960</v>
      </c>
      <c r="BT1" s="186" t="s">
        <v>279</v>
      </c>
      <c r="BU1" s="186" t="s">
        <v>259</v>
      </c>
      <c r="BV1" s="186" t="s">
        <v>386</v>
      </c>
      <c r="BW1" s="186" t="s">
        <v>938</v>
      </c>
      <c r="BX1" s="186" t="s">
        <v>314</v>
      </c>
      <c r="BY1" s="186" t="s">
        <v>315</v>
      </c>
      <c r="BZ1" s="186" t="s">
        <v>708</v>
      </c>
      <c r="CA1" s="186" t="s">
        <v>167</v>
      </c>
      <c r="CB1" s="186" t="s">
        <v>540</v>
      </c>
      <c r="CC1" s="186" t="s">
        <v>882</v>
      </c>
      <c r="CD1" s="186" t="s">
        <v>507</v>
      </c>
      <c r="CE1" s="186" t="s">
        <v>231</v>
      </c>
      <c r="CF1" s="186" t="s">
        <v>617</v>
      </c>
      <c r="CG1" s="186" t="s">
        <v>1067</v>
      </c>
      <c r="CH1" s="186" t="s">
        <v>672</v>
      </c>
      <c r="CI1" s="186" t="s">
        <v>301</v>
      </c>
      <c r="CJ1" s="186" t="s">
        <v>417</v>
      </c>
      <c r="CK1" s="186" t="s">
        <v>12</v>
      </c>
      <c r="CL1" s="186" t="s">
        <v>1178</v>
      </c>
      <c r="CM1" s="186" t="s">
        <v>291</v>
      </c>
      <c r="CN1" s="186" t="s">
        <v>645</v>
      </c>
      <c r="CO1" s="186" t="s">
        <v>193</v>
      </c>
      <c r="CP1" s="186" t="s">
        <v>544</v>
      </c>
      <c r="CQ1" s="186" t="s">
        <v>876</v>
      </c>
      <c r="CR1" s="186" t="s">
        <v>847</v>
      </c>
      <c r="CS1" s="186" t="s">
        <v>19</v>
      </c>
      <c r="CT1" s="186" t="s">
        <v>849</v>
      </c>
      <c r="CU1" s="186" t="s">
        <v>296</v>
      </c>
      <c r="CV1" s="186" t="s">
        <v>783</v>
      </c>
      <c r="CW1" s="186" t="s">
        <v>1029</v>
      </c>
      <c r="CX1" s="186" t="s">
        <v>985</v>
      </c>
      <c r="CY1" s="186" t="s">
        <v>372</v>
      </c>
      <c r="CZ1" s="186" t="s">
        <v>542</v>
      </c>
      <c r="DA1" s="186" t="s">
        <v>640</v>
      </c>
      <c r="DB1" s="186" t="s">
        <v>641</v>
      </c>
      <c r="DC1" s="186" t="s">
        <v>373</v>
      </c>
      <c r="DD1" s="186" t="s">
        <v>371</v>
      </c>
      <c r="DE1" s="186" t="s">
        <v>419</v>
      </c>
      <c r="DF1" s="186" t="s">
        <v>772</v>
      </c>
      <c r="DG1" s="186" t="s">
        <v>870</v>
      </c>
      <c r="DH1" s="186" t="s">
        <v>871</v>
      </c>
      <c r="DI1" s="186" t="s">
        <v>652</v>
      </c>
      <c r="DJ1" s="186" t="s">
        <v>1083</v>
      </c>
      <c r="DK1" s="186" t="s">
        <v>1084</v>
      </c>
      <c r="DL1" s="186" t="s">
        <v>302</v>
      </c>
      <c r="DM1" s="186" t="s">
        <v>100</v>
      </c>
      <c r="DN1" s="186" t="s">
        <v>725</v>
      </c>
      <c r="DO1" s="186" t="s">
        <v>470</v>
      </c>
      <c r="DP1" s="186" t="s">
        <v>481</v>
      </c>
      <c r="DQ1" s="186" t="s">
        <v>585</v>
      </c>
      <c r="DR1" s="186" t="s">
        <v>1062</v>
      </c>
      <c r="DS1" s="186" t="s">
        <v>397</v>
      </c>
      <c r="DT1" s="186" t="s">
        <v>759</v>
      </c>
      <c r="DU1" s="186" t="s">
        <v>492</v>
      </c>
      <c r="DV1" s="186" t="s">
        <v>383</v>
      </c>
      <c r="DW1" s="186" t="s">
        <v>357</v>
      </c>
      <c r="DX1" s="186" t="s">
        <v>768</v>
      </c>
      <c r="DY1" s="186" t="s">
        <v>629</v>
      </c>
      <c r="DZ1" s="186" t="s">
        <v>972</v>
      </c>
      <c r="EA1" s="186" t="s">
        <v>732</v>
      </c>
      <c r="EB1" s="186" t="s">
        <v>477</v>
      </c>
      <c r="EC1" s="186" t="s">
        <v>883</v>
      </c>
      <c r="ED1" s="186" t="s">
        <v>95</v>
      </c>
      <c r="EE1" s="186" t="s">
        <v>171</v>
      </c>
      <c r="EF1" s="186" t="s">
        <v>1090</v>
      </c>
      <c r="EG1" s="186" t="s">
        <v>82</v>
      </c>
      <c r="EH1" s="186" t="s">
        <v>144</v>
      </c>
      <c r="EI1" s="186" t="s">
        <v>1085</v>
      </c>
      <c r="EJ1" s="186" t="s">
        <v>784</v>
      </c>
      <c r="EK1" s="186" t="s">
        <v>1057</v>
      </c>
      <c r="EL1" s="186" t="s">
        <v>1058</v>
      </c>
      <c r="EM1" s="186" t="s">
        <v>1082</v>
      </c>
      <c r="EN1" s="186" t="s">
        <v>353</v>
      </c>
      <c r="EO1" s="186" t="s">
        <v>447</v>
      </c>
      <c r="EP1" s="186" t="s">
        <v>154</v>
      </c>
      <c r="EQ1" s="186" t="s">
        <v>605</v>
      </c>
      <c r="ER1" s="186" t="s">
        <v>612</v>
      </c>
      <c r="ES1" s="186" t="s">
        <v>587</v>
      </c>
      <c r="ET1" s="186" t="s">
        <v>239</v>
      </c>
      <c r="EU1" s="186" t="s">
        <v>693</v>
      </c>
      <c r="EV1" s="186" t="s">
        <v>10</v>
      </c>
      <c r="EW1" s="186" t="s">
        <v>11</v>
      </c>
      <c r="EX1" s="186" t="s">
        <v>552</v>
      </c>
      <c r="EY1" s="186" t="s">
        <v>710</v>
      </c>
      <c r="EZ1" s="186" t="s">
        <v>249</v>
      </c>
      <c r="FA1" s="186" t="s">
        <v>680</v>
      </c>
      <c r="FB1" s="186" t="s">
        <v>325</v>
      </c>
      <c r="FC1" s="186" t="s">
        <v>408</v>
      </c>
      <c r="FD1" s="186" t="s">
        <v>543</v>
      </c>
      <c r="FE1" s="186" t="s">
        <v>121</v>
      </c>
      <c r="FF1" s="186" t="s">
        <v>812</v>
      </c>
      <c r="FG1" s="186" t="s">
        <v>128</v>
      </c>
      <c r="FH1" s="186" t="s">
        <v>234</v>
      </c>
      <c r="FI1" s="186" t="s">
        <v>264</v>
      </c>
      <c r="FJ1" s="186" t="s">
        <v>534</v>
      </c>
      <c r="FK1" s="186" t="s">
        <v>448</v>
      </c>
      <c r="FL1" s="186" t="s">
        <v>951</v>
      </c>
      <c r="FM1" s="186" t="s">
        <v>952</v>
      </c>
      <c r="FN1" s="186" t="s">
        <v>765</v>
      </c>
      <c r="FO1" s="186" t="s">
        <v>426</v>
      </c>
      <c r="FP1" s="186" t="s">
        <v>215</v>
      </c>
      <c r="FQ1" s="186" t="s">
        <v>491</v>
      </c>
      <c r="FR1" s="186" t="s">
        <v>803</v>
      </c>
      <c r="FS1" s="186" t="s">
        <v>461</v>
      </c>
      <c r="FT1" s="186" t="s">
        <v>416</v>
      </c>
      <c r="FU1" s="186" t="s">
        <v>272</v>
      </c>
      <c r="FV1" s="186" t="s">
        <v>54</v>
      </c>
      <c r="FW1" s="186" t="s">
        <v>581</v>
      </c>
      <c r="FX1" s="186" t="s">
        <v>636</v>
      </c>
      <c r="FY1" s="186" t="s">
        <v>1077</v>
      </c>
      <c r="FZ1" s="186" t="s">
        <v>515</v>
      </c>
      <c r="GA1" s="186" t="s">
        <v>740</v>
      </c>
      <c r="GB1" s="186" t="s">
        <v>767</v>
      </c>
      <c r="GC1" s="186" t="s">
        <v>625</v>
      </c>
      <c r="GD1" s="186" t="s">
        <v>165</v>
      </c>
      <c r="GE1" s="186" t="s">
        <v>227</v>
      </c>
      <c r="GF1" s="186" t="s">
        <v>888</v>
      </c>
      <c r="GG1" s="186" t="s">
        <v>666</v>
      </c>
      <c r="GH1" s="186" t="s">
        <v>754</v>
      </c>
      <c r="GI1" s="186" t="s">
        <v>852</v>
      </c>
      <c r="GJ1" s="186" t="s">
        <v>210</v>
      </c>
      <c r="GK1" s="186" t="s">
        <v>211</v>
      </c>
      <c r="GL1" s="186" t="s">
        <v>497</v>
      </c>
      <c r="GM1" s="186" t="s">
        <v>686</v>
      </c>
      <c r="GN1" s="186" t="s">
        <v>687</v>
      </c>
      <c r="GO1" s="186" t="s">
        <v>229</v>
      </c>
      <c r="GP1" s="186" t="s">
        <v>1063</v>
      </c>
      <c r="GQ1" s="186" t="s">
        <v>679</v>
      </c>
      <c r="GR1" s="186" t="s">
        <v>209</v>
      </c>
      <c r="GS1" s="186" t="s">
        <v>428</v>
      </c>
      <c r="GT1" s="186" t="s">
        <v>216</v>
      </c>
      <c r="GU1" s="186" t="s">
        <v>1032</v>
      </c>
      <c r="GV1" s="186" t="s">
        <v>804</v>
      </c>
      <c r="GW1" s="186" t="s">
        <v>898</v>
      </c>
      <c r="GX1" s="186" t="s">
        <v>684</v>
      </c>
      <c r="GY1" s="186" t="s">
        <v>877</v>
      </c>
      <c r="GZ1" s="186" t="s">
        <v>323</v>
      </c>
      <c r="HA1" s="186" t="s">
        <v>253</v>
      </c>
      <c r="HB1" s="186" t="s">
        <v>304</v>
      </c>
      <c r="HC1" s="186" t="s">
        <v>785</v>
      </c>
      <c r="HD1" s="186" t="s">
        <v>456</v>
      </c>
      <c r="HE1" s="186" t="s">
        <v>869</v>
      </c>
      <c r="HF1" s="186" t="s">
        <v>555</v>
      </c>
      <c r="HG1" s="186" t="s">
        <v>971</v>
      </c>
      <c r="HH1" s="186" t="s">
        <v>770</v>
      </c>
      <c r="HI1" s="186" t="s">
        <v>894</v>
      </c>
      <c r="HJ1" s="186" t="s">
        <v>807</v>
      </c>
      <c r="HK1" s="186" t="s">
        <v>151</v>
      </c>
      <c r="HL1" s="186" t="s">
        <v>802</v>
      </c>
      <c r="HM1" s="186" t="s">
        <v>682</v>
      </c>
      <c r="HN1" s="186" t="s">
        <v>1020</v>
      </c>
      <c r="HO1" s="186" t="s">
        <v>771</v>
      </c>
      <c r="HP1" s="186" t="s">
        <v>509</v>
      </c>
      <c r="HQ1" s="186" t="s">
        <v>221</v>
      </c>
      <c r="HR1" s="186" t="s">
        <v>351</v>
      </c>
      <c r="HS1" s="186" t="s">
        <v>650</v>
      </c>
      <c r="HT1" s="186" t="s">
        <v>738</v>
      </c>
      <c r="HU1" s="186" t="s">
        <v>324</v>
      </c>
      <c r="HV1" s="186" t="s">
        <v>980</v>
      </c>
      <c r="HW1" s="186" t="s">
        <v>664</v>
      </c>
      <c r="HX1" s="186" t="s">
        <v>665</v>
      </c>
      <c r="HY1" s="186" t="s">
        <v>364</v>
      </c>
      <c r="HZ1" s="186" t="s">
        <v>884</v>
      </c>
      <c r="IA1" s="186" t="s">
        <v>957</v>
      </c>
      <c r="IB1" s="186" t="s">
        <v>958</v>
      </c>
      <c r="IC1" s="186" t="s">
        <v>723</v>
      </c>
      <c r="ID1" s="186" t="s">
        <v>119</v>
      </c>
      <c r="IE1" s="186" t="s">
        <v>292</v>
      </c>
      <c r="IF1" s="186" t="s">
        <v>651</v>
      </c>
      <c r="IG1" s="186" t="s">
        <v>712</v>
      </c>
      <c r="IH1" s="186" t="s">
        <v>564</v>
      </c>
      <c r="II1" s="186" t="s">
        <v>970</v>
      </c>
      <c r="IJ1" s="186" t="s">
        <v>831</v>
      </c>
      <c r="IK1" s="186" t="s">
        <v>859</v>
      </c>
      <c r="IL1" s="186" t="s">
        <v>384</v>
      </c>
      <c r="IM1" s="186" t="s">
        <v>819</v>
      </c>
      <c r="IN1" s="186" t="s">
        <v>820</v>
      </c>
      <c r="IO1" s="186" t="s">
        <v>854</v>
      </c>
      <c r="IP1" s="186" t="s">
        <v>858</v>
      </c>
      <c r="IQ1" s="186" t="s">
        <v>471</v>
      </c>
      <c r="IR1" s="186" t="s">
        <v>472</v>
      </c>
      <c r="IS1" s="186" t="s">
        <v>674</v>
      </c>
      <c r="IT1" s="186" t="s">
        <v>273</v>
      </c>
    </row>
    <row r="2" spans="1:254" ht="21">
      <c r="A2" s="191" t="s">
        <v>322</v>
      </c>
      <c r="B2" s="219">
        <v>1</v>
      </c>
      <c r="C2" s="219">
        <v>2</v>
      </c>
      <c r="D2" s="219">
        <v>3</v>
      </c>
      <c r="E2" s="219">
        <v>4</v>
      </c>
      <c r="F2" s="219">
        <v>5</v>
      </c>
      <c r="G2" s="219">
        <v>6</v>
      </c>
      <c r="H2" s="219">
        <v>7</v>
      </c>
      <c r="I2" s="219">
        <v>8</v>
      </c>
      <c r="J2" s="219">
        <v>9</v>
      </c>
      <c r="K2" s="221">
        <v>10</v>
      </c>
      <c r="L2" s="219">
        <v>11</v>
      </c>
      <c r="M2" s="219">
        <v>12</v>
      </c>
    </row>
    <row r="3" spans="1:254" ht="19">
      <c r="A3" s="260" t="s">
        <v>837</v>
      </c>
      <c r="B3" s="261"/>
      <c r="C3" s="261"/>
      <c r="D3" s="261"/>
      <c r="E3" s="261"/>
      <c r="F3" s="261"/>
      <c r="G3" s="261"/>
      <c r="H3" s="261"/>
      <c r="I3" s="261"/>
      <c r="J3" s="261"/>
      <c r="K3" s="261"/>
      <c r="L3" s="261"/>
      <c r="M3" s="270"/>
    </row>
    <row r="4" spans="1:254" ht="19" customHeight="1">
      <c r="A4" s="262" t="s">
        <v>1022</v>
      </c>
      <c r="B4" s="263"/>
      <c r="C4" s="263"/>
      <c r="D4" s="263"/>
      <c r="E4" s="263"/>
      <c r="F4" s="263"/>
      <c r="G4" s="263"/>
      <c r="H4" s="263"/>
      <c r="I4" s="263"/>
      <c r="J4" s="263"/>
      <c r="K4" s="263"/>
      <c r="L4" s="263"/>
      <c r="M4" s="271"/>
    </row>
    <row r="5" spans="1:254" ht="20" customHeight="1" thickBot="1">
      <c r="A5" s="264" t="s">
        <v>830</v>
      </c>
      <c r="B5" s="265"/>
      <c r="C5" s="265"/>
      <c r="D5" s="265"/>
      <c r="E5" s="265"/>
      <c r="F5" s="265"/>
      <c r="G5" s="265"/>
      <c r="H5" s="265"/>
      <c r="I5" s="265"/>
      <c r="J5" s="265"/>
      <c r="K5" s="265"/>
      <c r="L5" s="265"/>
      <c r="M5" s="270"/>
    </row>
    <row r="6" spans="1:254" s="190" customFormat="1" ht="55" customHeight="1" thickBot="1">
      <c r="A6" s="195" t="s">
        <v>912</v>
      </c>
      <c r="B6" s="198" t="s">
        <v>453</v>
      </c>
      <c r="C6" s="198" t="s">
        <v>132</v>
      </c>
      <c r="D6" s="198" t="s">
        <v>531</v>
      </c>
      <c r="E6" s="198" t="s">
        <v>986</v>
      </c>
      <c r="F6" s="198" t="s">
        <v>589</v>
      </c>
      <c r="G6" s="227" t="s">
        <v>358</v>
      </c>
      <c r="H6" s="196" t="s">
        <v>359</v>
      </c>
      <c r="I6" s="198" t="s">
        <v>1043</v>
      </c>
      <c r="J6" s="228" t="s">
        <v>339</v>
      </c>
      <c r="K6" s="222" t="s">
        <v>503</v>
      </c>
      <c r="L6" s="197" t="s">
        <v>230</v>
      </c>
      <c r="M6" s="222" t="s">
        <v>691</v>
      </c>
    </row>
    <row r="7" spans="1:254" ht="16">
      <c r="A7" s="194" t="s">
        <v>948</v>
      </c>
      <c r="B7" s="232" t="s">
        <v>931</v>
      </c>
      <c r="C7" s="232" t="s">
        <v>799</v>
      </c>
      <c r="D7" s="232" t="s">
        <v>392</v>
      </c>
      <c r="E7" s="233">
        <v>75000</v>
      </c>
      <c r="F7" s="232" t="s">
        <v>412</v>
      </c>
      <c r="G7" s="234"/>
      <c r="H7" s="235" t="s">
        <v>949</v>
      </c>
      <c r="I7" s="236" t="s">
        <v>407</v>
      </c>
      <c r="J7" s="237"/>
      <c r="K7" s="238" t="s">
        <v>480</v>
      </c>
      <c r="L7" s="239" t="s">
        <v>714</v>
      </c>
      <c r="M7" s="239" t="s">
        <v>669</v>
      </c>
    </row>
    <row r="8" spans="1:254" ht="16">
      <c r="A8" s="192" t="s">
        <v>455</v>
      </c>
      <c r="B8" s="479" t="s">
        <v>729</v>
      </c>
      <c r="C8" s="479" t="s">
        <v>753</v>
      </c>
      <c r="D8" s="479" t="s">
        <v>1212</v>
      </c>
      <c r="E8" s="480">
        <v>78770</v>
      </c>
      <c r="F8" s="479" t="s">
        <v>1213</v>
      </c>
      <c r="G8" s="481" t="s">
        <v>374</v>
      </c>
      <c r="H8" s="479"/>
      <c r="I8" s="480" t="s">
        <v>1060</v>
      </c>
      <c r="J8" s="482" t="s">
        <v>469</v>
      </c>
      <c r="K8" s="483" t="s">
        <v>1061</v>
      </c>
      <c r="L8" s="479" t="s">
        <v>1146</v>
      </c>
      <c r="M8" s="479" t="s">
        <v>690</v>
      </c>
    </row>
    <row r="9" spans="1:254" ht="15" customHeight="1">
      <c r="A9" s="192" t="s">
        <v>890</v>
      </c>
      <c r="B9" s="284"/>
      <c r="C9" s="284"/>
      <c r="D9" s="284"/>
      <c r="E9" s="284"/>
      <c r="F9" s="284"/>
      <c r="G9" s="284"/>
      <c r="H9" s="284"/>
      <c r="I9" s="284"/>
      <c r="J9" s="284"/>
      <c r="K9" s="284"/>
      <c r="L9" s="284"/>
      <c r="M9" s="284"/>
    </row>
    <row r="10" spans="1:254" ht="15" customHeight="1">
      <c r="A10" s="192" t="s">
        <v>403</v>
      </c>
      <c r="B10" s="284"/>
      <c r="C10" s="285"/>
      <c r="D10" s="285"/>
      <c r="E10" s="285"/>
      <c r="F10" s="285"/>
      <c r="G10" s="285"/>
      <c r="H10" s="285"/>
      <c r="I10" s="285"/>
      <c r="J10" s="286"/>
      <c r="K10" s="287"/>
      <c r="L10" s="287"/>
      <c r="M10" s="285"/>
    </row>
    <row r="11" spans="1:254" ht="15" customHeight="1">
      <c r="A11" s="192" t="s">
        <v>678</v>
      </c>
      <c r="B11" s="284"/>
      <c r="C11" s="285"/>
      <c r="D11" s="287"/>
      <c r="E11" s="287"/>
      <c r="F11" s="285"/>
      <c r="G11" s="285"/>
      <c r="H11" s="285"/>
      <c r="I11" s="285"/>
      <c r="J11" s="286"/>
      <c r="K11" s="287"/>
      <c r="L11" s="285"/>
      <c r="M11" s="285"/>
    </row>
    <row r="12" spans="1:254" ht="15" customHeight="1">
      <c r="A12" s="192" t="s">
        <v>698</v>
      </c>
      <c r="B12" s="284"/>
      <c r="C12" s="285"/>
      <c r="D12" s="285"/>
      <c r="E12" s="285"/>
      <c r="F12" s="285"/>
      <c r="G12" s="287"/>
      <c r="H12" s="287"/>
      <c r="I12" s="285"/>
      <c r="J12" s="287"/>
      <c r="K12" s="287"/>
      <c r="L12" s="285"/>
      <c r="M12" s="285"/>
    </row>
    <row r="13" spans="1:254" ht="15" customHeight="1">
      <c r="A13" s="192" t="s">
        <v>619</v>
      </c>
      <c r="B13" s="284"/>
      <c r="C13" s="285"/>
      <c r="D13" s="285"/>
      <c r="E13" s="285"/>
      <c r="F13" s="285"/>
      <c r="G13" s="287"/>
      <c r="H13" s="287"/>
      <c r="I13" s="285"/>
      <c r="J13" s="287"/>
      <c r="K13" s="287"/>
      <c r="L13" s="285"/>
      <c r="M13" s="285"/>
    </row>
    <row r="14" spans="1:254" ht="15" customHeight="1">
      <c r="A14" s="192" t="s">
        <v>719</v>
      </c>
      <c r="B14" s="284"/>
      <c r="C14" s="285"/>
      <c r="D14" s="285"/>
      <c r="E14" s="285"/>
      <c r="F14" s="285"/>
      <c r="G14" s="287"/>
      <c r="H14" s="287"/>
      <c r="I14" s="285"/>
      <c r="J14" s="287"/>
      <c r="K14" s="287"/>
      <c r="L14" s="288"/>
      <c r="M14" s="285"/>
    </row>
    <row r="15" spans="1:254" ht="15" customHeight="1">
      <c r="A15" s="192" t="s">
        <v>1002</v>
      </c>
      <c r="B15" s="284"/>
      <c r="C15" s="285"/>
      <c r="D15" s="285"/>
      <c r="E15" s="285"/>
      <c r="F15" s="285"/>
      <c r="G15" s="287"/>
      <c r="H15" s="287"/>
      <c r="I15" s="285"/>
      <c r="J15" s="287"/>
      <c r="K15" s="287"/>
      <c r="L15" s="285"/>
      <c r="M15" s="285"/>
    </row>
    <row r="16" spans="1:254" ht="15" customHeight="1">
      <c r="A16" s="192" t="s">
        <v>236</v>
      </c>
      <c r="B16" s="284"/>
      <c r="C16" s="285"/>
      <c r="D16" s="285"/>
      <c r="E16" s="285"/>
      <c r="F16" s="285"/>
      <c r="G16" s="287"/>
      <c r="H16" s="287"/>
      <c r="I16" s="285"/>
      <c r="J16" s="287"/>
      <c r="K16" s="287"/>
      <c r="L16" s="285"/>
      <c r="M16" s="285"/>
    </row>
    <row r="17" spans="1:13" ht="15" customHeight="1">
      <c r="A17" s="192" t="s">
        <v>760</v>
      </c>
      <c r="B17" s="284"/>
      <c r="C17" s="285"/>
      <c r="D17" s="287"/>
      <c r="E17" s="287"/>
      <c r="F17" s="287"/>
      <c r="G17" s="287"/>
      <c r="H17" s="285"/>
      <c r="I17" s="285"/>
      <c r="J17" s="286"/>
      <c r="K17" s="287"/>
      <c r="L17" s="287"/>
      <c r="M17" s="287"/>
    </row>
    <row r="18" spans="1:13" ht="15" customHeight="1">
      <c r="A18" s="192" t="s">
        <v>627</v>
      </c>
      <c r="B18" s="284"/>
      <c r="C18" s="285"/>
      <c r="D18" s="285"/>
      <c r="E18" s="285"/>
      <c r="F18" s="285"/>
      <c r="G18" s="285"/>
      <c r="H18" s="285"/>
      <c r="I18" s="285"/>
      <c r="J18" s="286"/>
      <c r="K18" s="287"/>
      <c r="L18" s="285"/>
      <c r="M18" s="285"/>
    </row>
    <row r="19" spans="1:13" ht="15" customHeight="1">
      <c r="A19" s="192" t="s">
        <v>438</v>
      </c>
      <c r="B19" s="284"/>
      <c r="C19" s="285"/>
      <c r="D19" s="285"/>
      <c r="E19" s="285"/>
      <c r="F19" s="285"/>
      <c r="G19" s="285"/>
      <c r="H19" s="285"/>
      <c r="I19" s="285"/>
      <c r="J19" s="286"/>
      <c r="K19" s="287"/>
      <c r="L19" s="285"/>
      <c r="M19" s="285"/>
    </row>
    <row r="20" spans="1:13" ht="15" customHeight="1">
      <c r="A20" s="192" t="s">
        <v>380</v>
      </c>
      <c r="B20" s="284"/>
      <c r="C20" s="285"/>
      <c r="D20" s="285"/>
      <c r="E20" s="285"/>
      <c r="F20" s="285"/>
      <c r="G20" s="285"/>
      <c r="H20" s="285"/>
      <c r="I20" s="285"/>
      <c r="J20" s="286"/>
      <c r="K20" s="287"/>
      <c r="L20" s="288"/>
      <c r="M20" s="285"/>
    </row>
    <row r="21" spans="1:13" ht="15" customHeight="1">
      <c r="A21" s="192" t="s">
        <v>329</v>
      </c>
      <c r="B21" s="284"/>
      <c r="C21" s="285"/>
      <c r="D21" s="285"/>
      <c r="E21" s="285"/>
      <c r="F21" s="285"/>
      <c r="G21" s="285"/>
      <c r="H21" s="285"/>
      <c r="I21" s="285"/>
      <c r="J21" s="286"/>
      <c r="K21" s="287"/>
      <c r="L21" s="285"/>
      <c r="M21" s="285"/>
    </row>
    <row r="22" spans="1:13" ht="15" customHeight="1">
      <c r="A22" s="192" t="s">
        <v>72</v>
      </c>
      <c r="B22" s="284"/>
      <c r="C22" s="285"/>
      <c r="D22" s="285"/>
      <c r="E22" s="285"/>
      <c r="F22" s="285"/>
      <c r="G22" s="285"/>
      <c r="H22" s="285"/>
      <c r="I22" s="285"/>
      <c r="J22" s="286"/>
      <c r="K22" s="287"/>
      <c r="L22" s="285"/>
      <c r="M22" s="285"/>
    </row>
    <row r="23" spans="1:13" ht="15" customHeight="1">
      <c r="A23" s="192" t="s">
        <v>316</v>
      </c>
      <c r="B23" s="284"/>
      <c r="C23" s="285"/>
      <c r="D23" s="285"/>
      <c r="E23" s="285"/>
      <c r="F23" s="285"/>
      <c r="G23" s="285"/>
      <c r="H23" s="285"/>
      <c r="I23" s="285"/>
      <c r="J23" s="286"/>
      <c r="K23" s="287"/>
      <c r="L23" s="285"/>
      <c r="M23" s="285"/>
    </row>
    <row r="24" spans="1:13" ht="15" customHeight="1">
      <c r="A24" s="192" t="s">
        <v>533</v>
      </c>
      <c r="B24" s="284"/>
      <c r="C24" s="285"/>
      <c r="D24" s="285"/>
      <c r="E24" s="285"/>
      <c r="F24" s="285"/>
      <c r="G24" s="285"/>
      <c r="H24" s="285"/>
      <c r="I24" s="285"/>
      <c r="J24" s="286"/>
      <c r="K24" s="287"/>
      <c r="L24" s="288"/>
      <c r="M24" s="285"/>
    </row>
    <row r="25" spans="1:13" ht="15" customHeight="1">
      <c r="A25" s="192" t="s">
        <v>69</v>
      </c>
      <c r="B25" s="284"/>
      <c r="C25" s="285"/>
      <c r="D25" s="285"/>
      <c r="E25" s="285"/>
      <c r="F25" s="285"/>
      <c r="G25" s="285"/>
      <c r="H25" s="285"/>
      <c r="I25" s="285"/>
      <c r="J25" s="286"/>
      <c r="K25" s="287"/>
      <c r="L25" s="285"/>
      <c r="M25" s="285"/>
    </row>
    <row r="26" spans="1:13" ht="15" customHeight="1">
      <c r="A26" s="192" t="s">
        <v>741</v>
      </c>
      <c r="B26" s="284"/>
      <c r="C26" s="285"/>
      <c r="D26" s="285"/>
      <c r="E26" s="285"/>
      <c r="F26" s="285"/>
      <c r="G26" s="285"/>
      <c r="H26" s="285"/>
      <c r="I26" s="285"/>
      <c r="J26" s="286"/>
      <c r="K26" s="287"/>
      <c r="L26" s="288"/>
      <c r="M26" s="285"/>
    </row>
    <row r="27" spans="1:13" ht="15" customHeight="1">
      <c r="A27" s="192" t="s">
        <v>21</v>
      </c>
      <c r="B27" s="284"/>
      <c r="C27" s="285"/>
      <c r="D27" s="285"/>
      <c r="E27" s="285"/>
      <c r="F27" s="285"/>
      <c r="G27" s="285"/>
      <c r="H27" s="285"/>
      <c r="I27" s="285"/>
      <c r="J27" s="286"/>
      <c r="K27" s="287"/>
      <c r="L27" s="285"/>
      <c r="M27" s="285"/>
    </row>
    <row r="28" spans="1:13" ht="15" customHeight="1">
      <c r="A28" s="192" t="s">
        <v>709</v>
      </c>
      <c r="B28" s="284"/>
      <c r="C28" s="285"/>
      <c r="D28" s="285"/>
      <c r="E28" s="285"/>
      <c r="F28" s="285"/>
      <c r="G28" s="285"/>
      <c r="H28" s="285"/>
      <c r="I28" s="285"/>
      <c r="J28" s="286"/>
      <c r="K28" s="287"/>
      <c r="L28" s="285"/>
      <c r="M28" s="285"/>
    </row>
    <row r="29" spans="1:13" ht="15" customHeight="1">
      <c r="A29" s="192" t="s">
        <v>508</v>
      </c>
      <c r="B29" s="284"/>
      <c r="C29" s="285"/>
      <c r="D29" s="285"/>
      <c r="E29" s="285"/>
      <c r="F29" s="285"/>
      <c r="G29" s="285"/>
      <c r="H29" s="285"/>
      <c r="I29" s="285"/>
      <c r="J29" s="286"/>
      <c r="K29" s="287"/>
      <c r="L29" s="288"/>
      <c r="M29" s="285"/>
    </row>
    <row r="30" spans="1:13" ht="15" customHeight="1">
      <c r="A30" s="192" t="s">
        <v>798</v>
      </c>
      <c r="B30" s="284"/>
      <c r="C30" s="285"/>
      <c r="D30" s="285"/>
      <c r="E30" s="285"/>
      <c r="F30" s="285"/>
      <c r="G30" s="285"/>
      <c r="H30" s="285"/>
      <c r="I30" s="285"/>
      <c r="J30" s="286"/>
      <c r="K30" s="287"/>
      <c r="L30" s="288"/>
      <c r="M30" s="285"/>
    </row>
    <row r="31" spans="1:13" ht="15" customHeight="1">
      <c r="A31" s="192" t="s">
        <v>835</v>
      </c>
      <c r="B31" s="284"/>
      <c r="C31" s="285"/>
      <c r="D31" s="285"/>
      <c r="E31" s="285"/>
      <c r="F31" s="285"/>
      <c r="G31" s="285"/>
      <c r="H31" s="285"/>
      <c r="I31" s="285"/>
      <c r="J31" s="286"/>
      <c r="K31" s="287"/>
      <c r="L31" s="285"/>
      <c r="M31" s="285"/>
    </row>
    <row r="32" spans="1:13" ht="15" customHeight="1">
      <c r="A32" s="192" t="s">
        <v>933</v>
      </c>
      <c r="B32" s="284"/>
      <c r="C32" s="285"/>
      <c r="D32" s="285"/>
      <c r="E32" s="285"/>
      <c r="F32" s="285"/>
      <c r="G32" s="285"/>
      <c r="H32" s="285"/>
      <c r="I32" s="285"/>
      <c r="J32" s="286"/>
      <c r="K32" s="287"/>
      <c r="L32" s="285"/>
      <c r="M32" s="285"/>
    </row>
    <row r="33" spans="1:13" ht="15" customHeight="1">
      <c r="A33" s="192" t="s">
        <v>298</v>
      </c>
      <c r="B33" s="284"/>
      <c r="C33" s="285"/>
      <c r="D33" s="285"/>
      <c r="E33" s="285"/>
      <c r="F33" s="285"/>
      <c r="G33" s="285"/>
      <c r="H33" s="285"/>
      <c r="I33" s="285"/>
      <c r="J33" s="286"/>
      <c r="K33" s="287"/>
      <c r="L33" s="285"/>
      <c r="M33" s="285"/>
    </row>
    <row r="34" spans="1:13" ht="15" customHeight="1">
      <c r="A34" s="192" t="s">
        <v>274</v>
      </c>
      <c r="B34" s="284"/>
      <c r="C34" s="285"/>
      <c r="D34" s="285"/>
      <c r="E34" s="285"/>
      <c r="F34" s="285"/>
      <c r="G34" s="285"/>
      <c r="H34" s="285"/>
      <c r="I34" s="285"/>
      <c r="J34" s="286"/>
      <c r="K34" s="287"/>
      <c r="L34" s="285"/>
      <c r="M34" s="285"/>
    </row>
    <row r="35" spans="1:13" ht="15" customHeight="1">
      <c r="A35" s="192" t="s">
        <v>891</v>
      </c>
      <c r="B35" s="284"/>
      <c r="C35" s="285"/>
      <c r="D35" s="285"/>
      <c r="E35" s="285"/>
      <c r="F35" s="285"/>
      <c r="G35" s="285"/>
      <c r="H35" s="285"/>
      <c r="I35" s="285"/>
      <c r="J35" s="286"/>
      <c r="K35" s="287"/>
      <c r="L35" s="285"/>
      <c r="M35" s="285"/>
    </row>
    <row r="36" spans="1:13" ht="15" customHeight="1">
      <c r="A36" s="192" t="s">
        <v>892</v>
      </c>
      <c r="B36" s="284"/>
      <c r="C36" s="285"/>
      <c r="D36" s="285"/>
      <c r="E36" s="285"/>
      <c r="F36" s="285"/>
      <c r="G36" s="285"/>
      <c r="H36" s="285"/>
      <c r="I36" s="285"/>
      <c r="J36" s="286"/>
      <c r="K36" s="287"/>
      <c r="L36" s="288"/>
      <c r="M36" s="285"/>
    </row>
    <row r="37" spans="1:13" ht="15" customHeight="1">
      <c r="A37" s="192" t="s">
        <v>402</v>
      </c>
      <c r="B37" s="284"/>
      <c r="C37" s="285"/>
      <c r="D37" s="285"/>
      <c r="E37" s="285"/>
      <c r="F37" s="285"/>
      <c r="G37" s="285"/>
      <c r="H37" s="285"/>
      <c r="I37" s="285"/>
      <c r="J37" s="286"/>
      <c r="K37" s="287"/>
      <c r="L37" s="285"/>
      <c r="M37" s="285"/>
    </row>
    <row r="38" spans="1:13" ht="15" customHeight="1">
      <c r="A38" s="192" t="s">
        <v>805</v>
      </c>
      <c r="B38" s="284"/>
      <c r="C38" s="285"/>
      <c r="D38" s="285"/>
      <c r="E38" s="285"/>
      <c r="F38" s="285"/>
      <c r="G38" s="285"/>
      <c r="H38" s="285"/>
      <c r="I38" s="285"/>
      <c r="J38" s="286"/>
      <c r="K38" s="287"/>
      <c r="L38" s="285"/>
      <c r="M38" s="285"/>
    </row>
    <row r="39" spans="1:13" ht="15" customHeight="1">
      <c r="A39" s="192" t="s">
        <v>214</v>
      </c>
      <c r="B39" s="284"/>
      <c r="C39" s="285"/>
      <c r="D39" s="285"/>
      <c r="E39" s="285"/>
      <c r="F39" s="285"/>
      <c r="G39" s="285"/>
      <c r="H39" s="285"/>
      <c r="I39" s="285"/>
      <c r="J39" s="286"/>
      <c r="K39" s="287"/>
      <c r="L39" s="285"/>
      <c r="M39" s="285"/>
    </row>
    <row r="40" spans="1:13" ht="15" customHeight="1">
      <c r="A40" s="192" t="s">
        <v>332</v>
      </c>
      <c r="B40" s="284"/>
      <c r="C40" s="285"/>
      <c r="D40" s="285"/>
      <c r="E40" s="285"/>
      <c r="F40" s="285"/>
      <c r="G40" s="285"/>
      <c r="H40" s="285"/>
      <c r="I40" s="285"/>
      <c r="J40" s="286"/>
      <c r="K40" s="287"/>
      <c r="L40" s="288"/>
      <c r="M40" s="285"/>
    </row>
    <row r="41" spans="1:13" ht="15" customHeight="1">
      <c r="A41" s="192" t="s">
        <v>232</v>
      </c>
      <c r="B41" s="284"/>
      <c r="C41" s="285"/>
      <c r="D41" s="285"/>
      <c r="E41" s="285"/>
      <c r="F41" s="285"/>
      <c r="G41" s="285"/>
      <c r="H41" s="285"/>
      <c r="I41" s="285"/>
      <c r="J41" s="286"/>
      <c r="K41" s="287"/>
      <c r="L41" s="285"/>
      <c r="M41" s="285"/>
    </row>
    <row r="42" spans="1:13" ht="15" customHeight="1">
      <c r="A42" s="192" t="s">
        <v>129</v>
      </c>
      <c r="B42" s="284"/>
      <c r="C42" s="285"/>
      <c r="D42" s="285"/>
      <c r="E42" s="285"/>
      <c r="F42" s="285"/>
      <c r="G42" s="285"/>
      <c r="H42" s="285"/>
      <c r="I42" s="285"/>
      <c r="J42" s="286"/>
      <c r="K42" s="287"/>
      <c r="L42" s="288"/>
      <c r="M42" s="285"/>
    </row>
    <row r="43" spans="1:13" ht="15" customHeight="1">
      <c r="A43" s="192" t="s">
        <v>825</v>
      </c>
      <c r="B43" s="284"/>
      <c r="C43" s="285"/>
      <c r="D43" s="285"/>
      <c r="E43" s="285"/>
      <c r="F43" s="285"/>
      <c r="G43" s="285"/>
      <c r="H43" s="285"/>
      <c r="I43" s="285"/>
      <c r="J43" s="286"/>
      <c r="K43" s="287"/>
      <c r="L43" s="285"/>
      <c r="M43" s="285"/>
    </row>
    <row r="44" spans="1:13" ht="15" customHeight="1">
      <c r="A44" s="192" t="s">
        <v>677</v>
      </c>
      <c r="B44" s="284"/>
      <c r="C44" s="285"/>
      <c r="D44" s="285"/>
      <c r="E44" s="285"/>
      <c r="F44" s="285"/>
      <c r="G44" s="285"/>
      <c r="H44" s="285"/>
      <c r="I44" s="285"/>
      <c r="J44" s="286"/>
      <c r="K44" s="287"/>
      <c r="L44" s="285"/>
      <c r="M44" s="285"/>
    </row>
    <row r="45" spans="1:13" ht="15" customHeight="1">
      <c r="A45" s="192" t="s">
        <v>195</v>
      </c>
      <c r="B45" s="284"/>
      <c r="C45" s="285"/>
      <c r="D45" s="285"/>
      <c r="E45" s="285"/>
      <c r="F45" s="285"/>
      <c r="G45" s="285"/>
      <c r="H45" s="285"/>
      <c r="I45" s="285"/>
      <c r="J45" s="286"/>
      <c r="K45" s="287"/>
      <c r="L45" s="288"/>
      <c r="M45" s="285"/>
    </row>
    <row r="46" spans="1:13" ht="15" customHeight="1">
      <c r="A46" s="192" t="s">
        <v>932</v>
      </c>
      <c r="B46" s="284"/>
      <c r="C46" s="285"/>
      <c r="D46" s="285"/>
      <c r="E46" s="285"/>
      <c r="F46" s="285"/>
      <c r="G46" s="285"/>
      <c r="H46" s="285"/>
      <c r="I46" s="285"/>
      <c r="J46" s="286"/>
      <c r="K46" s="287"/>
      <c r="L46" s="288"/>
      <c r="M46" s="285"/>
    </row>
    <row r="47" spans="1:13" ht="15" customHeight="1">
      <c r="A47" s="192" t="s">
        <v>212</v>
      </c>
      <c r="B47" s="284"/>
      <c r="C47" s="285"/>
      <c r="D47" s="285"/>
      <c r="E47" s="285"/>
      <c r="F47" s="285"/>
      <c r="G47" s="285"/>
      <c r="H47" s="285"/>
      <c r="I47" s="285"/>
      <c r="J47" s="286"/>
      <c r="K47" s="287"/>
      <c r="L47" s="285"/>
      <c r="M47" s="285"/>
    </row>
    <row r="48" spans="1:13" ht="15" customHeight="1">
      <c r="A48" s="192" t="s">
        <v>694</v>
      </c>
      <c r="B48" s="284"/>
      <c r="C48" s="285"/>
      <c r="D48" s="285"/>
      <c r="E48" s="285"/>
      <c r="F48" s="285"/>
      <c r="G48" s="285"/>
      <c r="H48" s="285"/>
      <c r="I48" s="285"/>
      <c r="J48" s="286"/>
      <c r="K48" s="287"/>
      <c r="L48" s="285"/>
      <c r="M48" s="285"/>
    </row>
    <row r="49" spans="1:13" ht="15" customHeight="1">
      <c r="A49" s="192" t="s">
        <v>695</v>
      </c>
      <c r="B49" s="284"/>
      <c r="C49" s="285"/>
      <c r="D49" s="285"/>
      <c r="E49" s="285"/>
      <c r="F49" s="285"/>
      <c r="G49" s="285"/>
      <c r="H49" s="285"/>
      <c r="I49" s="285"/>
      <c r="J49" s="286"/>
      <c r="K49" s="287"/>
      <c r="L49" s="285"/>
      <c r="M49" s="285"/>
    </row>
    <row r="50" spans="1:13" ht="15" customHeight="1">
      <c r="A50" s="192" t="s">
        <v>797</v>
      </c>
      <c r="B50" s="284"/>
      <c r="C50" s="285"/>
      <c r="D50" s="287"/>
      <c r="E50" s="287"/>
      <c r="F50" s="287"/>
      <c r="G50" s="285"/>
      <c r="H50" s="285"/>
      <c r="I50" s="285"/>
      <c r="J50" s="286"/>
      <c r="K50" s="287"/>
      <c r="L50" s="285"/>
      <c r="M50" s="285"/>
    </row>
    <row r="51" spans="1:13" ht="15" customHeight="1">
      <c r="A51" s="192" t="s">
        <v>950</v>
      </c>
      <c r="B51" s="284"/>
      <c r="C51" s="285"/>
      <c r="D51" s="287"/>
      <c r="E51" s="287"/>
      <c r="F51" s="287"/>
      <c r="G51" s="285"/>
      <c r="H51" s="285"/>
      <c r="I51" s="285"/>
      <c r="J51" s="286"/>
      <c r="K51" s="287"/>
      <c r="L51" s="288"/>
      <c r="M51" s="285"/>
    </row>
    <row r="52" spans="1:13" ht="15" customHeight="1">
      <c r="A52" s="192" t="s">
        <v>864</v>
      </c>
      <c r="B52" s="284"/>
      <c r="C52" s="285"/>
      <c r="D52" s="287"/>
      <c r="E52" s="287"/>
      <c r="F52" s="287"/>
      <c r="G52" s="285"/>
      <c r="H52" s="285"/>
      <c r="I52" s="285"/>
      <c r="J52" s="286"/>
      <c r="K52" s="287"/>
      <c r="L52" s="285"/>
      <c r="M52" s="285"/>
    </row>
    <row r="53" spans="1:13" ht="15" customHeight="1">
      <c r="A53" s="192" t="s">
        <v>997</v>
      </c>
      <c r="B53" s="284"/>
      <c r="C53" s="285"/>
      <c r="D53" s="287"/>
      <c r="E53" s="287"/>
      <c r="F53" s="287"/>
      <c r="G53" s="285"/>
      <c r="H53" s="285"/>
      <c r="I53" s="285"/>
      <c r="J53" s="286"/>
      <c r="K53" s="287"/>
      <c r="L53" s="285"/>
      <c r="M53" s="285"/>
    </row>
    <row r="54" spans="1:13" ht="15" customHeight="1">
      <c r="A54" s="192" t="s">
        <v>434</v>
      </c>
      <c r="B54" s="284"/>
      <c r="C54" s="285"/>
      <c r="D54" s="287"/>
      <c r="E54" s="287"/>
      <c r="F54" s="287"/>
      <c r="G54" s="285"/>
      <c r="H54" s="285"/>
      <c r="I54" s="285"/>
      <c r="J54" s="286"/>
      <c r="K54" s="287"/>
      <c r="L54" s="285"/>
      <c r="M54" s="285"/>
    </row>
    <row r="55" spans="1:13" ht="15" customHeight="1">
      <c r="A55" s="192" t="s">
        <v>440</v>
      </c>
      <c r="B55" s="284"/>
      <c r="C55" s="285"/>
      <c r="D55" s="287"/>
      <c r="E55" s="287"/>
      <c r="F55" s="287"/>
      <c r="G55" s="285"/>
      <c r="H55" s="285"/>
      <c r="I55" s="285"/>
      <c r="J55" s="286"/>
      <c r="K55" s="287"/>
      <c r="L55" s="288"/>
      <c r="M55" s="285"/>
    </row>
    <row r="56" spans="1:13" ht="15" customHeight="1">
      <c r="A56" s="192" t="s">
        <v>755</v>
      </c>
      <c r="B56" s="284"/>
      <c r="C56" s="285"/>
      <c r="D56" s="287"/>
      <c r="E56" s="287"/>
      <c r="F56" s="287"/>
      <c r="G56" s="285"/>
      <c r="H56" s="285"/>
      <c r="I56" s="285"/>
      <c r="J56" s="286"/>
      <c r="K56" s="287"/>
      <c r="L56" s="285"/>
      <c r="M56" s="285"/>
    </row>
    <row r="57" spans="1:13" ht="15" customHeight="1">
      <c r="A57" s="192" t="s">
        <v>756</v>
      </c>
      <c r="B57" s="284"/>
      <c r="C57" s="285"/>
      <c r="D57" s="287"/>
      <c r="E57" s="287"/>
      <c r="F57" s="287"/>
      <c r="G57" s="287"/>
      <c r="H57" s="287"/>
      <c r="I57" s="285"/>
      <c r="J57" s="286"/>
      <c r="K57" s="287"/>
      <c r="L57" s="285"/>
      <c r="M57" s="287"/>
    </row>
    <row r="58" spans="1:13" ht="15" customHeight="1">
      <c r="A58" s="192" t="s">
        <v>311</v>
      </c>
      <c r="B58" s="284"/>
      <c r="C58" s="285"/>
      <c r="D58" s="287"/>
      <c r="E58" s="287"/>
      <c r="F58" s="287"/>
      <c r="G58" s="285"/>
      <c r="H58" s="285"/>
      <c r="I58" s="285"/>
      <c r="J58" s="286"/>
      <c r="K58" s="287"/>
      <c r="L58" s="287"/>
      <c r="M58" s="287"/>
    </row>
    <row r="59" spans="1:13" ht="15" customHeight="1">
      <c r="A59" s="192" t="s">
        <v>478</v>
      </c>
      <c r="B59" s="284"/>
      <c r="C59" s="285"/>
      <c r="D59" s="285"/>
      <c r="E59" s="285"/>
      <c r="F59" s="285"/>
      <c r="G59" s="285"/>
      <c r="H59" s="285"/>
      <c r="I59" s="285"/>
      <c r="J59" s="286"/>
      <c r="K59" s="287"/>
      <c r="L59" s="285"/>
      <c r="M59" s="285"/>
    </row>
    <row r="60" spans="1:13" ht="15" customHeight="1">
      <c r="A60" s="192" t="s">
        <v>908</v>
      </c>
      <c r="B60" s="284"/>
      <c r="C60" s="285"/>
      <c r="D60" s="285"/>
      <c r="E60" s="285"/>
      <c r="F60" s="285"/>
      <c r="G60" s="285"/>
      <c r="H60" s="285"/>
      <c r="I60" s="285"/>
      <c r="J60" s="286"/>
      <c r="K60" s="287"/>
      <c r="L60" s="286"/>
      <c r="M60" s="285"/>
    </row>
    <row r="61" spans="1:13" ht="15" customHeight="1">
      <c r="A61" s="192" t="s">
        <v>834</v>
      </c>
      <c r="B61" s="284"/>
      <c r="C61" s="285"/>
      <c r="D61" s="285"/>
      <c r="E61" s="285"/>
      <c r="F61" s="285"/>
      <c r="G61" s="285"/>
      <c r="H61" s="285"/>
      <c r="I61" s="285"/>
      <c r="J61" s="286"/>
      <c r="K61" s="287"/>
      <c r="L61" s="286"/>
      <c r="M61" s="285"/>
    </row>
    <row r="62" spans="1:13" ht="15" customHeight="1">
      <c r="A62" s="192" t="s">
        <v>752</v>
      </c>
      <c r="B62" s="284"/>
      <c r="C62" s="285"/>
      <c r="D62" s="285"/>
      <c r="E62" s="285"/>
      <c r="F62" s="285"/>
      <c r="G62" s="285"/>
      <c r="H62" s="285"/>
      <c r="I62" s="285"/>
      <c r="J62" s="286"/>
      <c r="K62" s="287"/>
      <c r="L62" s="288"/>
      <c r="M62" s="285"/>
    </row>
    <row r="63" spans="1:13" ht="15" customHeight="1">
      <c r="A63" s="192" t="s">
        <v>290</v>
      </c>
      <c r="B63" s="284"/>
      <c r="C63" s="285"/>
      <c r="D63" s="285"/>
      <c r="E63" s="285"/>
      <c r="F63" s="285"/>
      <c r="G63" s="285"/>
      <c r="H63" s="285"/>
      <c r="I63" s="285"/>
      <c r="J63" s="286"/>
      <c r="K63" s="287"/>
      <c r="L63" s="286"/>
      <c r="M63" s="285"/>
    </row>
    <row r="64" spans="1:13" ht="15" customHeight="1">
      <c r="A64" s="192" t="s">
        <v>594</v>
      </c>
      <c r="B64" s="284"/>
      <c r="C64" s="285"/>
      <c r="D64" s="285"/>
      <c r="E64" s="285"/>
      <c r="F64" s="285"/>
      <c r="G64" s="285"/>
      <c r="H64" s="285"/>
      <c r="I64" s="285"/>
      <c r="J64" s="286"/>
      <c r="K64" s="287"/>
      <c r="L64" s="285"/>
      <c r="M64" s="285"/>
    </row>
    <row r="65" spans="1:13" ht="15" customHeight="1">
      <c r="A65" s="192" t="s">
        <v>660</v>
      </c>
      <c r="B65" s="284"/>
      <c r="C65" s="285"/>
      <c r="D65" s="285"/>
      <c r="E65" s="285"/>
      <c r="F65" s="285"/>
      <c r="G65" s="285"/>
      <c r="H65" s="285"/>
      <c r="I65" s="285"/>
      <c r="J65" s="286"/>
      <c r="K65" s="287"/>
      <c r="L65" s="286"/>
      <c r="M65" s="285"/>
    </row>
    <row r="66" spans="1:13" ht="15" customHeight="1">
      <c r="A66" s="192" t="s">
        <v>618</v>
      </c>
      <c r="B66" s="284"/>
      <c r="C66" s="285"/>
      <c r="D66" s="285"/>
      <c r="E66" s="285"/>
      <c r="F66" s="285"/>
      <c r="G66" s="285"/>
      <c r="H66" s="285"/>
      <c r="I66" s="285"/>
      <c r="J66" s="286"/>
      <c r="K66" s="287"/>
      <c r="L66" s="288"/>
      <c r="M66" s="285"/>
    </row>
    <row r="67" spans="1:13" ht="15" customHeight="1">
      <c r="A67" s="192" t="s">
        <v>263</v>
      </c>
      <c r="B67" s="284"/>
      <c r="C67" s="285"/>
      <c r="D67" s="285"/>
      <c r="E67" s="285"/>
      <c r="F67" s="285"/>
      <c r="G67" s="285"/>
      <c r="H67" s="285"/>
      <c r="I67" s="285"/>
      <c r="J67" s="286"/>
      <c r="K67" s="287"/>
      <c r="L67" s="285"/>
      <c r="M67" s="285"/>
    </row>
    <row r="68" spans="1:13" ht="15" customHeight="1">
      <c r="A68" s="192" t="s">
        <v>170</v>
      </c>
      <c r="B68" s="284"/>
      <c r="C68" s="285"/>
      <c r="D68" s="285"/>
      <c r="E68" s="285"/>
      <c r="F68" s="285"/>
      <c r="G68" s="285"/>
      <c r="H68" s="285"/>
      <c r="I68" s="285"/>
      <c r="J68" s="286"/>
      <c r="K68" s="287"/>
      <c r="L68" s="285"/>
      <c r="M68" s="285"/>
    </row>
    <row r="69" spans="1:13" ht="15" customHeight="1">
      <c r="A69" s="192" t="s">
        <v>670</v>
      </c>
      <c r="B69" s="284"/>
      <c r="C69" s="285"/>
      <c r="D69" s="285"/>
      <c r="E69" s="285"/>
      <c r="F69" s="285"/>
      <c r="G69" s="285"/>
      <c r="H69" s="285"/>
      <c r="I69" s="285"/>
      <c r="J69" s="286"/>
      <c r="K69" s="287"/>
      <c r="L69" s="285"/>
      <c r="M69" s="285"/>
    </row>
    <row r="70" spans="1:13" ht="15" customHeight="1">
      <c r="A70" s="192" t="s">
        <v>362</v>
      </c>
      <c r="B70" s="284"/>
      <c r="C70" s="285"/>
      <c r="D70" s="285"/>
      <c r="E70" s="285"/>
      <c r="F70" s="285"/>
      <c r="G70" s="285"/>
      <c r="H70" s="285"/>
      <c r="I70" s="285"/>
      <c r="J70" s="286"/>
      <c r="K70" s="287"/>
      <c r="L70" s="286"/>
      <c r="M70" s="285"/>
    </row>
    <row r="71" spans="1:13" ht="15" customHeight="1">
      <c r="A71" s="192" t="s">
        <v>226</v>
      </c>
      <c r="B71" s="284"/>
      <c r="C71" s="285"/>
      <c r="D71" s="285"/>
      <c r="E71" s="285"/>
      <c r="F71" s="285"/>
      <c r="G71" s="285"/>
      <c r="H71" s="285"/>
      <c r="I71" s="285"/>
      <c r="J71" s="286"/>
      <c r="K71" s="287"/>
      <c r="L71" s="286"/>
      <c r="M71" s="285"/>
    </row>
    <row r="72" spans="1:13" ht="15" customHeight="1">
      <c r="A72" s="192" t="s">
        <v>620</v>
      </c>
      <c r="B72" s="284"/>
      <c r="C72" s="285"/>
      <c r="D72" s="285"/>
      <c r="E72" s="285"/>
      <c r="F72" s="285"/>
      <c r="G72" s="285"/>
      <c r="H72" s="285"/>
      <c r="I72" s="285"/>
      <c r="J72" s="286"/>
      <c r="K72" s="287"/>
      <c r="L72" s="286"/>
      <c r="M72" s="285"/>
    </row>
    <row r="73" spans="1:13" ht="15" customHeight="1">
      <c r="A73" s="192" t="s">
        <v>17</v>
      </c>
      <c r="B73" s="284"/>
      <c r="C73" s="285"/>
      <c r="D73" s="285"/>
      <c r="E73" s="285"/>
      <c r="F73" s="285"/>
      <c r="G73" s="285"/>
      <c r="H73" s="285"/>
      <c r="I73" s="285"/>
      <c r="J73" s="286"/>
      <c r="K73" s="287"/>
      <c r="L73" s="286"/>
      <c r="M73" s="285"/>
    </row>
    <row r="74" spans="1:13" ht="15" customHeight="1">
      <c r="A74" s="192" t="s">
        <v>1000</v>
      </c>
      <c r="B74" s="284"/>
      <c r="C74" s="285"/>
      <c r="D74" s="285"/>
      <c r="E74" s="285"/>
      <c r="F74" s="285"/>
      <c r="G74" s="285"/>
      <c r="H74" s="285"/>
      <c r="I74" s="285"/>
      <c r="J74" s="286"/>
      <c r="K74" s="287"/>
      <c r="L74" s="285"/>
      <c r="M74" s="285"/>
    </row>
    <row r="75" spans="1:13" ht="15" customHeight="1">
      <c r="A75" s="192" t="s">
        <v>495</v>
      </c>
      <c r="B75" s="284"/>
      <c r="C75" s="285"/>
      <c r="D75" s="285"/>
      <c r="E75" s="285"/>
      <c r="F75" s="285"/>
      <c r="G75" s="285"/>
      <c r="H75" s="285"/>
      <c r="I75" s="285"/>
      <c r="J75" s="286"/>
      <c r="K75" s="287"/>
      <c r="L75" s="285"/>
      <c r="M75" s="285"/>
    </row>
    <row r="76" spans="1:13" ht="15" customHeight="1">
      <c r="A76" s="192" t="s">
        <v>496</v>
      </c>
      <c r="B76" s="284"/>
      <c r="C76" s="285"/>
      <c r="D76" s="285"/>
      <c r="E76" s="285"/>
      <c r="F76" s="285"/>
      <c r="G76" s="285"/>
      <c r="H76" s="285"/>
      <c r="I76" s="285"/>
      <c r="J76" s="286"/>
      <c r="K76" s="287"/>
      <c r="L76" s="285"/>
      <c r="M76" s="285"/>
    </row>
    <row r="77" spans="1:13" ht="15" customHeight="1">
      <c r="A77" s="192" t="s">
        <v>155</v>
      </c>
      <c r="B77" s="284"/>
      <c r="C77" s="285"/>
      <c r="D77" s="285"/>
      <c r="E77" s="285"/>
      <c r="F77" s="285"/>
      <c r="G77" s="285"/>
      <c r="H77" s="285"/>
      <c r="I77" s="285"/>
      <c r="J77" s="286"/>
      <c r="K77" s="287"/>
      <c r="L77" s="286"/>
      <c r="M77" s="285"/>
    </row>
    <row r="78" spans="1:13" ht="15" customHeight="1">
      <c r="A78" s="192" t="s">
        <v>156</v>
      </c>
      <c r="B78" s="284"/>
      <c r="C78" s="285"/>
      <c r="D78" s="285"/>
      <c r="E78" s="285"/>
      <c r="F78" s="285"/>
      <c r="G78" s="285"/>
      <c r="H78" s="285"/>
      <c r="I78" s="285"/>
      <c r="J78" s="286"/>
      <c r="K78" s="287"/>
      <c r="L78" s="285"/>
      <c r="M78" s="285"/>
    </row>
    <row r="79" spans="1:13" ht="15" customHeight="1">
      <c r="A79" s="192" t="s">
        <v>473</v>
      </c>
      <c r="B79" s="284"/>
      <c r="C79" s="285"/>
      <c r="D79" s="285"/>
      <c r="E79" s="285"/>
      <c r="F79" s="285"/>
      <c r="G79" s="285"/>
      <c r="H79" s="285"/>
      <c r="I79" s="285"/>
      <c r="J79" s="286"/>
      <c r="K79" s="287"/>
      <c r="L79" s="285"/>
      <c r="M79" s="285"/>
    </row>
    <row r="80" spans="1:13" ht="15" customHeight="1">
      <c r="A80" s="192" t="s">
        <v>474</v>
      </c>
      <c r="B80" s="284"/>
      <c r="C80" s="285"/>
      <c r="D80" s="285"/>
      <c r="E80" s="285"/>
      <c r="F80" s="285"/>
      <c r="G80" s="285"/>
      <c r="H80" s="285"/>
      <c r="I80" s="285"/>
      <c r="J80" s="286"/>
      <c r="K80" s="287"/>
      <c r="L80" s="285"/>
      <c r="M80" s="285"/>
    </row>
    <row r="81" spans="1:13" ht="15" customHeight="1">
      <c r="A81" s="192" t="s">
        <v>413</v>
      </c>
      <c r="B81" s="284"/>
      <c r="C81" s="285"/>
      <c r="D81" s="285"/>
      <c r="E81" s="285"/>
      <c r="F81" s="285"/>
      <c r="G81" s="285"/>
      <c r="H81" s="285"/>
      <c r="I81" s="285"/>
      <c r="J81" s="286"/>
      <c r="K81" s="287"/>
      <c r="L81" s="288"/>
      <c r="M81" s="285"/>
    </row>
    <row r="82" spans="1:13" ht="15" customHeight="1">
      <c r="A82" s="192" t="s">
        <v>414</v>
      </c>
      <c r="B82" s="284"/>
      <c r="C82" s="285"/>
      <c r="D82" s="285"/>
      <c r="E82" s="285"/>
      <c r="F82" s="285"/>
      <c r="G82" s="285"/>
      <c r="H82" s="285"/>
      <c r="I82" s="285"/>
      <c r="J82" s="286"/>
      <c r="K82" s="287"/>
      <c r="L82" s="285"/>
      <c r="M82" s="285"/>
    </row>
    <row r="83" spans="1:13" ht="15" customHeight="1">
      <c r="A83" s="192" t="s">
        <v>571</v>
      </c>
      <c r="B83" s="284"/>
      <c r="C83" s="285"/>
      <c r="D83" s="285"/>
      <c r="E83" s="285"/>
      <c r="F83" s="285"/>
      <c r="G83" s="285"/>
      <c r="H83" s="285"/>
      <c r="I83" s="285"/>
      <c r="J83" s="286"/>
      <c r="K83" s="287"/>
      <c r="L83" s="285"/>
      <c r="M83" s="285"/>
    </row>
    <row r="84" spans="1:13" ht="15" customHeight="1">
      <c r="A84" s="192" t="s">
        <v>832</v>
      </c>
      <c r="B84" s="284"/>
      <c r="C84" s="285"/>
      <c r="D84" s="285"/>
      <c r="E84" s="285"/>
      <c r="F84" s="285"/>
      <c r="G84" s="285"/>
      <c r="H84" s="285"/>
      <c r="I84" s="285"/>
      <c r="J84" s="286"/>
      <c r="K84" s="287"/>
      <c r="L84" s="288"/>
      <c r="M84" s="285"/>
    </row>
    <row r="85" spans="1:13" ht="15" customHeight="1">
      <c r="A85" s="192" t="s">
        <v>526</v>
      </c>
      <c r="B85" s="284"/>
      <c r="C85" s="285"/>
      <c r="D85" s="285"/>
      <c r="E85" s="285"/>
      <c r="F85" s="285"/>
      <c r="G85" s="285"/>
      <c r="H85" s="285"/>
      <c r="I85" s="285"/>
      <c r="J85" s="286"/>
      <c r="K85" s="287"/>
      <c r="L85" s="285"/>
      <c r="M85" s="285"/>
    </row>
    <row r="86" spans="1:13" ht="15" customHeight="1">
      <c r="A86" s="192" t="s">
        <v>868</v>
      </c>
      <c r="B86" s="284"/>
      <c r="C86" s="285"/>
      <c r="D86" s="285"/>
      <c r="E86" s="285"/>
      <c r="F86" s="285"/>
      <c r="G86" s="285"/>
      <c r="H86" s="285"/>
      <c r="I86" s="285"/>
      <c r="J86" s="286"/>
      <c r="K86" s="287"/>
      <c r="L86" s="288"/>
      <c r="M86" s="285"/>
    </row>
    <row r="87" spans="1:13" ht="15" customHeight="1">
      <c r="A87" s="192" t="s">
        <v>541</v>
      </c>
      <c r="B87" s="284"/>
      <c r="C87" s="285"/>
      <c r="D87" s="285"/>
      <c r="E87" s="285"/>
      <c r="F87" s="285"/>
      <c r="G87" s="285"/>
      <c r="H87" s="285"/>
      <c r="I87" s="285"/>
      <c r="J87" s="286"/>
      <c r="K87" s="287"/>
      <c r="L87" s="285"/>
      <c r="M87" s="285"/>
    </row>
    <row r="88" spans="1:13" ht="15" customHeight="1">
      <c r="A88" s="192" t="s">
        <v>1016</v>
      </c>
      <c r="B88" s="284"/>
      <c r="C88" s="285"/>
      <c r="D88" s="287"/>
      <c r="E88" s="287"/>
      <c r="F88" s="287"/>
      <c r="G88" s="287"/>
      <c r="H88" s="287"/>
      <c r="I88" s="285"/>
      <c r="J88" s="286"/>
      <c r="K88" s="287"/>
      <c r="L88" s="287"/>
      <c r="M88" s="287"/>
    </row>
    <row r="89" spans="1:13" ht="15" customHeight="1">
      <c r="A89" s="192" t="s">
        <v>327</v>
      </c>
      <c r="B89" s="284"/>
      <c r="C89" s="285"/>
      <c r="D89" s="285"/>
      <c r="E89" s="285"/>
      <c r="F89" s="285"/>
      <c r="G89" s="287"/>
      <c r="H89" s="285"/>
      <c r="I89" s="285"/>
      <c r="J89" s="286"/>
      <c r="K89" s="287"/>
      <c r="L89" s="285"/>
      <c r="M89" s="285"/>
    </row>
    <row r="90" spans="1:13" ht="15" customHeight="1">
      <c r="A90" s="192" t="s">
        <v>989</v>
      </c>
      <c r="B90" s="284"/>
      <c r="C90" s="285"/>
      <c r="D90" s="285"/>
      <c r="E90" s="285"/>
      <c r="F90" s="285"/>
      <c r="G90" s="287"/>
      <c r="H90" s="285"/>
      <c r="I90" s="285"/>
      <c r="J90" s="286"/>
      <c r="K90" s="287"/>
      <c r="L90" s="285"/>
      <c r="M90" s="285"/>
    </row>
    <row r="91" spans="1:13" ht="15" customHeight="1">
      <c r="A91" s="192" t="s">
        <v>990</v>
      </c>
      <c r="B91" s="284"/>
      <c r="C91" s="285"/>
      <c r="D91" s="285"/>
      <c r="E91" s="285"/>
      <c r="F91" s="285"/>
      <c r="G91" s="287"/>
      <c r="H91" s="285"/>
      <c r="I91" s="285"/>
      <c r="J91" s="286"/>
      <c r="K91" s="287"/>
      <c r="L91" s="288"/>
      <c r="M91" s="285"/>
    </row>
    <row r="92" spans="1:13" ht="15" customHeight="1">
      <c r="A92" s="192" t="s">
        <v>576</v>
      </c>
      <c r="B92" s="284"/>
      <c r="C92" s="285"/>
      <c r="D92" s="285"/>
      <c r="E92" s="285"/>
      <c r="F92" s="285"/>
      <c r="G92" s="287"/>
      <c r="H92" s="285"/>
      <c r="I92" s="285"/>
      <c r="J92" s="286"/>
      <c r="K92" s="287"/>
      <c r="L92" s="285"/>
      <c r="M92" s="285"/>
    </row>
    <row r="93" spans="1:13" ht="15" customHeight="1">
      <c r="A93" s="192" t="s">
        <v>988</v>
      </c>
      <c r="B93" s="284"/>
      <c r="C93" s="285"/>
      <c r="D93" s="285"/>
      <c r="E93" s="285"/>
      <c r="F93" s="285"/>
      <c r="G93" s="287"/>
      <c r="H93" s="285"/>
      <c r="I93" s="285"/>
      <c r="J93" s="286"/>
      <c r="K93" s="287"/>
      <c r="L93" s="285"/>
      <c r="M93" s="285"/>
    </row>
    <row r="94" spans="1:13" ht="15" customHeight="1">
      <c r="A94" s="192" t="s">
        <v>115</v>
      </c>
      <c r="B94" s="284"/>
      <c r="C94" s="285"/>
      <c r="D94" s="285"/>
      <c r="E94" s="285"/>
      <c r="F94" s="285"/>
      <c r="G94" s="287"/>
      <c r="H94" s="285"/>
      <c r="I94" s="285"/>
      <c r="J94" s="286"/>
      <c r="K94" s="287"/>
      <c r="L94" s="285"/>
      <c r="M94" s="285"/>
    </row>
    <row r="95" spans="1:13" ht="15" customHeight="1">
      <c r="A95" s="192" t="s">
        <v>821</v>
      </c>
      <c r="B95" s="284"/>
      <c r="C95" s="285"/>
      <c r="D95" s="285"/>
      <c r="E95" s="285"/>
      <c r="F95" s="285"/>
      <c r="G95" s="287"/>
      <c r="H95" s="285"/>
      <c r="I95" s="285"/>
      <c r="J95" s="286"/>
      <c r="K95" s="287"/>
      <c r="L95" s="285"/>
      <c r="M95" s="285"/>
    </row>
    <row r="96" spans="1:13" ht="15" customHeight="1">
      <c r="A96" s="192" t="s">
        <v>173</v>
      </c>
      <c r="B96" s="284"/>
      <c r="C96" s="285"/>
      <c r="D96" s="285"/>
      <c r="E96" s="285"/>
      <c r="F96" s="285"/>
      <c r="G96" s="287"/>
      <c r="H96" s="285"/>
      <c r="I96" s="285"/>
      <c r="J96" s="286"/>
      <c r="K96" s="287"/>
      <c r="L96" s="285"/>
      <c r="M96" s="285"/>
    </row>
    <row r="97" spans="1:13" ht="15" customHeight="1">
      <c r="A97" s="192" t="s">
        <v>277</v>
      </c>
      <c r="B97" s="284"/>
      <c r="C97" s="285"/>
      <c r="D97" s="285"/>
      <c r="E97" s="285"/>
      <c r="F97" s="285"/>
      <c r="G97" s="285"/>
      <c r="H97" s="285"/>
      <c r="I97" s="285"/>
      <c r="J97" s="286"/>
      <c r="K97" s="287"/>
      <c r="L97" s="287"/>
      <c r="M97" s="285"/>
    </row>
    <row r="98" spans="1:13" ht="15" customHeight="1">
      <c r="A98" s="192" t="s">
        <v>101</v>
      </c>
      <c r="B98" s="284"/>
      <c r="C98" s="285"/>
      <c r="D98" s="285"/>
      <c r="E98" s="285"/>
      <c r="F98" s="285"/>
      <c r="G98" s="285"/>
      <c r="H98" s="285"/>
      <c r="I98" s="285"/>
      <c r="J98" s="286"/>
      <c r="K98" s="287"/>
      <c r="L98" s="287"/>
      <c r="M98" s="285"/>
    </row>
    <row r="99" spans="1:13" ht="15" customHeight="1">
      <c r="A99" s="192" t="s">
        <v>432</v>
      </c>
      <c r="B99" s="284"/>
      <c r="C99" s="285"/>
      <c r="D99" s="285"/>
      <c r="E99" s="285"/>
      <c r="F99" s="285"/>
      <c r="G99" s="287"/>
      <c r="H99" s="285"/>
      <c r="I99" s="285"/>
      <c r="J99" s="286"/>
      <c r="K99" s="287"/>
      <c r="L99" s="287"/>
      <c r="M99" s="285"/>
    </row>
    <row r="100" spans="1:13" ht="15" customHeight="1">
      <c r="A100" s="192" t="s">
        <v>505</v>
      </c>
      <c r="B100" s="284"/>
      <c r="C100" s="285"/>
      <c r="D100" s="285"/>
      <c r="E100" s="285"/>
      <c r="F100" s="285"/>
      <c r="G100" s="287"/>
      <c r="H100" s="285"/>
      <c r="I100" s="285"/>
      <c r="J100" s="287"/>
      <c r="K100" s="287"/>
      <c r="L100" s="285"/>
      <c r="M100" s="285"/>
    </row>
    <row r="101" spans="1:13" ht="15" customHeight="1">
      <c r="A101" s="192" t="s">
        <v>795</v>
      </c>
      <c r="B101" s="284"/>
      <c r="C101" s="285"/>
      <c r="D101" s="285"/>
      <c r="E101" s="285"/>
      <c r="F101" s="285"/>
      <c r="G101" s="287"/>
      <c r="H101" s="285"/>
      <c r="I101" s="285"/>
      <c r="J101" s="287"/>
      <c r="K101" s="287"/>
      <c r="L101" s="285"/>
      <c r="M101" s="285"/>
    </row>
    <row r="102" spans="1:13" ht="15" customHeight="1">
      <c r="A102" s="192" t="s">
        <v>49</v>
      </c>
      <c r="B102" s="284"/>
      <c r="C102" s="285"/>
      <c r="D102" s="285"/>
      <c r="E102" s="285"/>
      <c r="F102" s="285"/>
      <c r="G102" s="287"/>
      <c r="H102" s="285"/>
      <c r="I102" s="285"/>
      <c r="J102" s="286"/>
      <c r="K102" s="287"/>
      <c r="L102" s="285"/>
      <c r="M102" s="285"/>
    </row>
    <row r="103" spans="1:13" ht="15" customHeight="1">
      <c r="A103" s="192" t="s">
        <v>130</v>
      </c>
      <c r="B103" s="284"/>
      <c r="C103" s="285"/>
      <c r="D103" s="285"/>
      <c r="E103" s="285"/>
      <c r="F103" s="285"/>
      <c r="G103" s="287"/>
      <c r="H103" s="285"/>
      <c r="I103" s="285"/>
      <c r="J103" s="286"/>
      <c r="K103" s="287"/>
      <c r="L103" s="285"/>
      <c r="M103" s="285"/>
    </row>
    <row r="104" spans="1:13" ht="15" customHeight="1">
      <c r="A104" s="192" t="s">
        <v>84</v>
      </c>
      <c r="B104" s="284"/>
      <c r="C104" s="285"/>
      <c r="D104" s="287"/>
      <c r="E104" s="287"/>
      <c r="F104" s="287"/>
      <c r="G104" s="287"/>
      <c r="H104" s="287"/>
      <c r="I104" s="285"/>
      <c r="J104" s="286"/>
      <c r="K104" s="287"/>
      <c r="L104" s="287"/>
      <c r="M104" s="285"/>
    </row>
    <row r="105" spans="1:13" ht="15" customHeight="1">
      <c r="A105" s="192" t="s">
        <v>306</v>
      </c>
      <c r="B105" s="284"/>
      <c r="C105" s="285"/>
      <c r="D105" s="285"/>
      <c r="E105" s="285"/>
      <c r="F105" s="285"/>
      <c r="G105" s="287"/>
      <c r="H105" s="287"/>
      <c r="I105" s="285"/>
      <c r="J105" s="287"/>
      <c r="K105" s="287"/>
      <c r="L105" s="285"/>
      <c r="M105" s="285"/>
    </row>
    <row r="106" spans="1:13" ht="15" customHeight="1">
      <c r="A106" s="193" t="s">
        <v>338</v>
      </c>
      <c r="B106" s="289"/>
      <c r="C106" s="290"/>
      <c r="D106" s="290"/>
      <c r="E106" s="290"/>
      <c r="F106" s="290"/>
      <c r="G106" s="291"/>
      <c r="H106" s="290"/>
      <c r="I106" s="290"/>
      <c r="J106" s="291"/>
      <c r="K106" s="291"/>
      <c r="L106" s="291"/>
      <c r="M106" s="290"/>
    </row>
    <row r="107" spans="1:13" ht="28" customHeight="1">
      <c r="B107" s="277"/>
      <c r="C107" s="278"/>
      <c r="D107" s="278"/>
      <c r="E107" s="278"/>
      <c r="F107" s="278"/>
      <c r="G107" s="280"/>
      <c r="H107" s="278"/>
      <c r="I107" s="278"/>
      <c r="J107" s="279"/>
      <c r="K107" s="280"/>
      <c r="L107" s="278"/>
      <c r="M107" s="278"/>
    </row>
    <row r="108" spans="1:13" ht="28" customHeight="1">
      <c r="B108" s="277"/>
      <c r="C108" s="278"/>
      <c r="D108" s="278"/>
      <c r="E108" s="278"/>
      <c r="F108" s="278"/>
      <c r="G108" s="280"/>
      <c r="H108" s="278"/>
      <c r="I108" s="278"/>
      <c r="J108" s="279"/>
      <c r="K108" s="280"/>
      <c r="L108"/>
      <c r="M108" s="278"/>
    </row>
    <row r="109" spans="1:13" ht="28" customHeight="1">
      <c r="B109" s="277"/>
      <c r="C109" s="278"/>
      <c r="D109" s="278"/>
      <c r="E109" s="278"/>
      <c r="F109" s="278"/>
      <c r="G109" s="280"/>
      <c r="H109" s="278"/>
      <c r="I109" s="278"/>
      <c r="J109" s="279"/>
      <c r="K109" s="280"/>
      <c r="L109" s="278"/>
      <c r="M109" s="278"/>
    </row>
    <row r="110" spans="1:13" ht="28" customHeight="1">
      <c r="B110" s="277"/>
      <c r="C110" s="278"/>
      <c r="D110" s="278"/>
      <c r="E110" s="278"/>
      <c r="F110" s="278"/>
      <c r="G110" s="280"/>
      <c r="H110" s="278"/>
      <c r="I110" s="278"/>
      <c r="J110" s="279"/>
      <c r="K110" s="280"/>
      <c r="L110" s="278"/>
      <c r="M110" s="278"/>
    </row>
    <row r="111" spans="1:13" ht="28" customHeight="1">
      <c r="B111" s="277"/>
      <c r="C111" s="278"/>
      <c r="D111" s="278"/>
      <c r="E111" s="278"/>
      <c r="F111" s="278"/>
      <c r="G111" s="280"/>
      <c r="H111" s="278"/>
      <c r="I111" s="278"/>
      <c r="J111" s="279"/>
      <c r="K111" s="280"/>
      <c r="L111"/>
      <c r="M111" s="278"/>
    </row>
    <row r="112" spans="1:13" ht="28" customHeight="1">
      <c r="B112" s="277"/>
      <c r="C112" s="278"/>
      <c r="D112" s="278"/>
      <c r="E112" s="278"/>
      <c r="F112" s="278"/>
      <c r="G112" s="280"/>
      <c r="H112" s="278"/>
      <c r="I112" s="278"/>
      <c r="J112" s="279"/>
      <c r="K112" s="280"/>
      <c r="L112" s="278"/>
      <c r="M112" s="278"/>
    </row>
    <row r="113" spans="2:13" ht="28" customHeight="1">
      <c r="B113" s="277"/>
      <c r="C113" s="278"/>
      <c r="D113" s="278"/>
      <c r="E113" s="278"/>
      <c r="F113" s="278"/>
      <c r="G113" s="280"/>
      <c r="H113" s="278"/>
      <c r="I113" s="278"/>
      <c r="J113" s="279"/>
      <c r="K113" s="280"/>
      <c r="L113" s="278"/>
      <c r="M113" s="278"/>
    </row>
    <row r="114" spans="2:13" ht="28" customHeight="1">
      <c r="B114" s="277"/>
      <c r="C114" s="278"/>
      <c r="D114" s="278"/>
      <c r="E114" s="278"/>
      <c r="F114" s="278"/>
      <c r="G114" s="280"/>
      <c r="H114" s="278"/>
      <c r="I114" s="278"/>
      <c r="J114" s="279"/>
      <c r="K114" s="280"/>
      <c r="L114"/>
      <c r="M114" s="278"/>
    </row>
    <row r="115" spans="2:13" ht="28" customHeight="1">
      <c r="B115" s="277"/>
      <c r="C115" s="278"/>
      <c r="D115"/>
      <c r="E115" s="278"/>
      <c r="F115" s="278"/>
      <c r="G115" s="280"/>
      <c r="H115" s="278"/>
      <c r="I115" s="278"/>
      <c r="J115" s="279"/>
      <c r="K115" s="280"/>
      <c r="L115" s="278"/>
      <c r="M115" s="278"/>
    </row>
    <row r="116" spans="2:13" ht="28" customHeight="1">
      <c r="B116" s="277"/>
      <c r="C116" s="278"/>
      <c r="D116" s="278"/>
      <c r="E116" s="278"/>
      <c r="F116" s="278"/>
      <c r="G116" s="280"/>
      <c r="H116" s="278"/>
      <c r="I116" s="278"/>
      <c r="J116" s="279"/>
      <c r="K116" s="280"/>
      <c r="L116" s="278"/>
      <c r="M116" s="280"/>
    </row>
    <row r="117" spans="2:13" ht="28" customHeight="1">
      <c r="B117" s="277"/>
      <c r="C117" s="280"/>
      <c r="D117" s="278"/>
      <c r="E117" s="278"/>
      <c r="F117" s="278"/>
      <c r="G117" s="280"/>
      <c r="H117" s="278"/>
      <c r="I117" s="278"/>
      <c r="J117" s="279"/>
      <c r="K117" s="280"/>
      <c r="L117" s="278"/>
      <c r="M117" s="278"/>
    </row>
    <row r="118" spans="2:13" ht="28" customHeight="1">
      <c r="B118" s="277"/>
      <c r="C118" s="280"/>
      <c r="D118" s="278"/>
      <c r="E118" s="278"/>
      <c r="F118" s="278"/>
      <c r="G118" s="280"/>
      <c r="H118" s="278"/>
      <c r="I118" s="278"/>
      <c r="J118" s="279"/>
      <c r="K118" s="280"/>
      <c r="L118" s="278"/>
      <c r="M118" s="278"/>
    </row>
    <row r="119" spans="2:13" ht="28" customHeight="1">
      <c r="B119" s="277"/>
      <c r="C119" s="280"/>
      <c r="D119" s="278"/>
      <c r="E119" s="278"/>
      <c r="F119" s="278"/>
      <c r="G119" s="280"/>
      <c r="H119" s="278"/>
      <c r="I119" s="278"/>
      <c r="J119" s="279"/>
      <c r="K119" s="280"/>
      <c r="L119" s="278"/>
      <c r="M119" s="278"/>
    </row>
    <row r="120" spans="2:13" ht="28" customHeight="1">
      <c r="B120" s="277"/>
      <c r="C120" s="280"/>
      <c r="D120" s="278"/>
      <c r="E120" s="278"/>
      <c r="F120" s="278"/>
      <c r="G120" s="280"/>
      <c r="H120" s="278"/>
      <c r="I120" s="278"/>
      <c r="J120" s="279"/>
      <c r="K120" s="280"/>
      <c r="L120" s="278"/>
      <c r="M120" s="278"/>
    </row>
    <row r="121" spans="2:13" ht="28" customHeight="1">
      <c r="B121" s="277"/>
      <c r="C121" s="280"/>
      <c r="D121" s="278"/>
      <c r="E121" s="278"/>
      <c r="F121" s="278"/>
      <c r="G121" s="280"/>
      <c r="H121" s="278"/>
      <c r="I121" s="278"/>
      <c r="J121" s="279"/>
      <c r="K121" s="280"/>
      <c r="L121"/>
      <c r="M121" s="278"/>
    </row>
    <row r="122" spans="2:13" ht="28" customHeight="1">
      <c r="B122" s="277"/>
      <c r="C122" s="280"/>
      <c r="D122" s="278"/>
      <c r="E122" s="278"/>
      <c r="F122" s="278"/>
      <c r="G122" s="280"/>
      <c r="H122" s="278"/>
      <c r="I122" s="278"/>
      <c r="J122" s="279"/>
      <c r="K122" s="280"/>
      <c r="L122" s="278"/>
      <c r="M122" s="278"/>
    </row>
    <row r="123" spans="2:13" ht="28" customHeight="1">
      <c r="B123" s="277"/>
      <c r="C123" s="280"/>
      <c r="D123" s="278"/>
      <c r="E123" s="278"/>
      <c r="F123" s="278"/>
      <c r="G123" s="280"/>
      <c r="H123" s="278"/>
      <c r="I123" s="278"/>
      <c r="J123" s="279"/>
      <c r="K123" s="280"/>
      <c r="L123" s="278"/>
      <c r="M123" s="278"/>
    </row>
    <row r="124" spans="2:13" ht="28" customHeight="1">
      <c r="B124" s="277"/>
      <c r="C124" s="280"/>
      <c r="D124" s="278"/>
      <c r="E124" s="278"/>
      <c r="F124" s="278"/>
      <c r="G124" s="280"/>
      <c r="H124" s="278"/>
      <c r="I124" s="278"/>
      <c r="J124" s="279"/>
      <c r="K124" s="280"/>
      <c r="L124" s="278"/>
      <c r="M124" s="278"/>
    </row>
    <row r="125" spans="2:13" ht="28" customHeight="1">
      <c r="B125" s="277"/>
      <c r="C125" s="280"/>
      <c r="D125" s="278"/>
      <c r="E125" s="278"/>
      <c r="F125" s="278"/>
      <c r="G125" s="280"/>
      <c r="H125" s="278"/>
      <c r="I125" s="278"/>
      <c r="J125" s="279"/>
      <c r="K125" s="280"/>
      <c r="L125" s="278"/>
      <c r="M125" s="278"/>
    </row>
    <row r="126" spans="2:13" ht="28" customHeight="1">
      <c r="B126" s="277"/>
      <c r="C126" s="280"/>
      <c r="D126" s="280"/>
      <c r="E126" s="280"/>
      <c r="F126" s="280"/>
      <c r="G126" s="278"/>
      <c r="H126" s="278"/>
      <c r="I126" s="278"/>
      <c r="J126" s="280"/>
      <c r="K126" s="280"/>
      <c r="L126" s="278"/>
      <c r="M126" s="280"/>
    </row>
    <row r="127" spans="2:13" ht="28" customHeight="1">
      <c r="B127" s="277"/>
      <c r="C127" s="280"/>
      <c r="D127" s="278"/>
      <c r="E127" s="278"/>
      <c r="F127" s="278"/>
      <c r="G127" s="280"/>
      <c r="H127" s="278"/>
      <c r="I127" s="278"/>
      <c r="J127" s="279"/>
      <c r="K127" s="280"/>
      <c r="L127" s="278"/>
      <c r="M127" s="278"/>
    </row>
    <row r="128" spans="2:13" ht="28" customHeight="1">
      <c r="B128" s="277"/>
      <c r="C128" s="280"/>
      <c r="D128" s="278"/>
      <c r="E128" s="278"/>
      <c r="F128" s="278"/>
      <c r="G128" s="280"/>
      <c r="H128" s="278"/>
      <c r="I128" s="278"/>
      <c r="J128" s="279"/>
      <c r="K128" s="280"/>
      <c r="L128" s="278"/>
      <c r="M128" s="278"/>
    </row>
    <row r="129" spans="2:13" ht="28" customHeight="1">
      <c r="B129" s="277"/>
      <c r="C129" s="280"/>
      <c r="D129" s="280"/>
      <c r="E129" s="280"/>
      <c r="F129" s="280"/>
      <c r="G129" s="280"/>
      <c r="H129" s="280"/>
      <c r="I129" s="278"/>
      <c r="J129" s="279"/>
      <c r="K129" s="280"/>
      <c r="L129" s="280"/>
      <c r="M129" s="280"/>
    </row>
    <row r="130" spans="2:13" ht="28" customHeight="1">
      <c r="B130" s="277"/>
      <c r="C130" s="280"/>
      <c r="D130" s="278"/>
      <c r="E130" s="280"/>
      <c r="F130" s="278"/>
      <c r="G130" s="280"/>
      <c r="H130" s="278"/>
      <c r="I130" s="278"/>
      <c r="J130" s="280"/>
      <c r="K130" s="280"/>
      <c r="L130" s="278"/>
      <c r="M130" s="280"/>
    </row>
    <row r="131" spans="2:13" ht="28" customHeight="1">
      <c r="B131" s="277"/>
      <c r="C131" s="280"/>
      <c r="D131" s="278"/>
      <c r="E131" s="280"/>
      <c r="F131" s="278"/>
      <c r="G131" s="280"/>
      <c r="H131" s="278"/>
      <c r="I131" s="278"/>
      <c r="J131" s="280"/>
      <c r="K131" s="280"/>
      <c r="L131" s="278"/>
      <c r="M131" s="280"/>
    </row>
    <row r="132" spans="2:13" ht="28" customHeight="1">
      <c r="B132" s="277"/>
      <c r="C132" s="280"/>
      <c r="D132" s="278"/>
      <c r="E132" s="280"/>
      <c r="F132" s="280"/>
      <c r="G132" s="278"/>
      <c r="H132" s="278"/>
      <c r="I132" s="278"/>
      <c r="J132" s="279"/>
      <c r="K132" s="280"/>
      <c r="L132" s="280"/>
      <c r="M132" s="280"/>
    </row>
    <row r="133" spans="2:13" ht="28" customHeight="1">
      <c r="B133" s="277"/>
      <c r="C133" s="280"/>
      <c r="D133" s="278"/>
      <c r="E133" s="278"/>
      <c r="F133" s="278"/>
      <c r="G133" s="280"/>
      <c r="H133" s="278"/>
      <c r="I133" s="278"/>
      <c r="J133" s="279"/>
      <c r="K133" s="280"/>
      <c r="L133" s="278"/>
      <c r="M133" s="278"/>
    </row>
    <row r="134" spans="2:13" ht="28" customHeight="1">
      <c r="B134" s="277"/>
      <c r="C134" s="280"/>
      <c r="D134" s="278"/>
      <c r="E134" s="278"/>
      <c r="F134" s="278"/>
      <c r="G134" s="280"/>
      <c r="H134" s="278"/>
      <c r="I134" s="278"/>
      <c r="J134" s="279"/>
      <c r="K134" s="280"/>
      <c r="L134" s="278"/>
      <c r="M134" s="278"/>
    </row>
    <row r="135" spans="2:13" ht="28" customHeight="1">
      <c r="B135" s="277"/>
      <c r="C135" s="280"/>
      <c r="D135" s="278"/>
      <c r="E135" s="278"/>
      <c r="F135" s="278"/>
      <c r="G135" s="280"/>
      <c r="H135" s="278"/>
      <c r="I135" s="278"/>
      <c r="J135" s="279"/>
      <c r="K135" s="280"/>
      <c r="L135" s="278"/>
      <c r="M135" s="278"/>
    </row>
    <row r="136" spans="2:13" ht="28" customHeight="1">
      <c r="B136" s="277"/>
      <c r="C136" s="280"/>
      <c r="D136" s="278"/>
      <c r="E136" s="278"/>
      <c r="F136" s="278"/>
      <c r="G136" s="280"/>
      <c r="H136" s="278"/>
      <c r="I136" s="278"/>
      <c r="J136" s="279"/>
      <c r="K136" s="280"/>
      <c r="L136"/>
      <c r="M136" s="278"/>
    </row>
    <row r="137" spans="2:13" ht="28" customHeight="1">
      <c r="B137" s="277"/>
      <c r="C137" s="280"/>
      <c r="D137" s="278"/>
      <c r="E137" s="278"/>
      <c r="F137" s="278"/>
      <c r="G137" s="280"/>
      <c r="H137" s="278"/>
      <c r="I137" s="278"/>
      <c r="J137" s="279"/>
      <c r="K137" s="280"/>
      <c r="L137" s="278"/>
      <c r="M137" s="278"/>
    </row>
    <row r="138" spans="2:13" ht="28" customHeight="1">
      <c r="B138" s="277"/>
      <c r="C138" s="280"/>
      <c r="D138" s="278"/>
      <c r="E138" s="278"/>
      <c r="F138" s="278"/>
      <c r="G138" s="280"/>
      <c r="H138" s="278"/>
      <c r="I138" s="278"/>
      <c r="J138" s="279"/>
      <c r="K138" s="280"/>
      <c r="L138" s="278"/>
      <c r="M138" s="278"/>
    </row>
    <row r="139" spans="2:13" ht="28" customHeight="1">
      <c r="B139" s="277"/>
      <c r="C139" s="280"/>
      <c r="D139" s="280"/>
      <c r="E139" s="280"/>
      <c r="F139" s="280"/>
      <c r="G139" s="280"/>
      <c r="H139" s="278"/>
      <c r="I139" s="278"/>
      <c r="J139" s="279"/>
      <c r="K139" s="280"/>
      <c r="L139" s="278"/>
      <c r="M139" s="280"/>
    </row>
    <row r="140" spans="2:13" ht="28" customHeight="1">
      <c r="B140" s="280"/>
      <c r="C140" s="280"/>
      <c r="D140" s="280"/>
      <c r="E140" s="280"/>
      <c r="F140" s="280"/>
      <c r="G140" s="280"/>
      <c r="H140" s="280"/>
      <c r="I140" s="278"/>
      <c r="J140" s="280"/>
      <c r="K140" s="280"/>
      <c r="L140" s="280"/>
      <c r="M140" s="280"/>
    </row>
    <row r="141" spans="2:13" ht="28" customHeight="1">
      <c r="B141" s="280"/>
      <c r="C141" s="280"/>
      <c r="D141" s="280"/>
      <c r="E141" s="280"/>
      <c r="F141" s="280"/>
      <c r="G141" s="280"/>
      <c r="H141" s="280"/>
      <c r="I141" s="278"/>
      <c r="J141" s="280"/>
      <c r="K141" s="280"/>
      <c r="L141" s="280"/>
      <c r="M141" s="280"/>
    </row>
    <row r="142" spans="2:13" ht="28" customHeight="1">
      <c r="B142" s="277"/>
      <c r="C142" s="280"/>
      <c r="D142" s="280"/>
      <c r="E142" s="280"/>
      <c r="F142" s="278"/>
      <c r="G142" s="280"/>
      <c r="H142" s="278"/>
      <c r="I142" s="278"/>
      <c r="J142" s="280"/>
      <c r="K142" s="280"/>
      <c r="L142" s="278"/>
      <c r="M142" s="278"/>
    </row>
    <row r="143" spans="2:13" ht="28" customHeight="1">
      <c r="B143" s="277"/>
      <c r="C143" s="280"/>
      <c r="D143" s="278"/>
      <c r="E143" s="278"/>
      <c r="F143" s="278"/>
      <c r="G143" s="280"/>
      <c r="H143" s="278"/>
      <c r="I143" s="278"/>
      <c r="J143" s="279"/>
      <c r="K143" s="280"/>
      <c r="L143" s="278"/>
      <c r="M143" s="278"/>
    </row>
    <row r="144" spans="2:13" ht="28" customHeight="1">
      <c r="B144" s="277"/>
      <c r="C144" s="280"/>
      <c r="D144" s="278"/>
      <c r="E144" s="278"/>
      <c r="F144" s="278"/>
      <c r="G144" s="280"/>
      <c r="H144" s="278"/>
      <c r="I144" s="278"/>
      <c r="J144" s="279"/>
      <c r="K144" s="280"/>
      <c r="L144" s="278"/>
      <c r="M144" s="278"/>
    </row>
    <row r="145" spans="2:13" ht="28" customHeight="1">
      <c r="B145" s="277"/>
      <c r="C145" s="280"/>
      <c r="D145" s="278"/>
      <c r="E145" s="278"/>
      <c r="F145" s="278"/>
      <c r="G145" s="280"/>
      <c r="H145" s="278"/>
      <c r="I145" s="278"/>
      <c r="J145" s="279"/>
      <c r="K145" s="280"/>
      <c r="L145" s="278"/>
      <c r="M145" s="278"/>
    </row>
    <row r="146" spans="2:13" ht="28" customHeight="1">
      <c r="B146" s="277"/>
      <c r="C146" s="280"/>
      <c r="D146" s="278"/>
      <c r="E146" s="278"/>
      <c r="F146" s="278"/>
      <c r="G146" s="280"/>
      <c r="H146" s="278"/>
      <c r="I146" s="278"/>
      <c r="J146" s="279"/>
      <c r="K146" s="280"/>
      <c r="L146" s="278"/>
      <c r="M146" s="278"/>
    </row>
    <row r="147" spans="2:13" ht="28" customHeight="1">
      <c r="B147" s="277"/>
      <c r="C147" s="280"/>
      <c r="D147" s="278"/>
      <c r="E147" s="278"/>
      <c r="F147" s="278"/>
      <c r="G147" s="280"/>
      <c r="H147" s="278"/>
      <c r="I147" s="278"/>
      <c r="J147" s="279"/>
      <c r="K147" s="280"/>
      <c r="L147" s="278"/>
      <c r="M147" s="278"/>
    </row>
    <row r="148" spans="2:13" ht="28" customHeight="1">
      <c r="B148" s="277"/>
      <c r="C148" s="280"/>
      <c r="D148" s="278"/>
      <c r="E148" s="278"/>
      <c r="F148" s="278"/>
      <c r="G148" s="280"/>
      <c r="H148" s="278"/>
      <c r="I148" s="278"/>
      <c r="J148" s="279"/>
      <c r="K148" s="280"/>
      <c r="L148" s="278"/>
      <c r="M148" s="278"/>
    </row>
    <row r="149" spans="2:13" ht="28" customHeight="1">
      <c r="B149" s="277"/>
      <c r="C149" s="280"/>
      <c r="D149" s="278"/>
      <c r="E149" s="278"/>
      <c r="F149" s="278"/>
      <c r="G149" s="280"/>
      <c r="H149" s="278"/>
      <c r="I149" s="278"/>
      <c r="J149" s="279"/>
      <c r="K149" s="280"/>
      <c r="L149" s="278"/>
      <c r="M149" s="278"/>
    </row>
    <row r="150" spans="2:13" ht="28" customHeight="1">
      <c r="B150" s="277"/>
      <c r="C150" s="280"/>
      <c r="D150" s="278"/>
      <c r="E150" s="278"/>
      <c r="F150" s="278"/>
      <c r="G150" s="280"/>
      <c r="H150" s="278"/>
      <c r="I150" s="278"/>
      <c r="J150" s="279"/>
      <c r="K150" s="280"/>
      <c r="L150" s="278"/>
      <c r="M150" s="278"/>
    </row>
    <row r="151" spans="2:13" ht="28" customHeight="1">
      <c r="B151" s="277"/>
      <c r="C151" s="280"/>
      <c r="D151" s="278"/>
      <c r="E151" s="278"/>
      <c r="F151" s="278"/>
      <c r="G151" s="280"/>
      <c r="H151" s="278"/>
      <c r="I151" s="278"/>
      <c r="J151" s="279"/>
      <c r="K151" s="280"/>
      <c r="L151" s="278"/>
      <c r="M151" s="278"/>
    </row>
    <row r="152" spans="2:13" ht="28" customHeight="1">
      <c r="B152" s="277"/>
      <c r="C152" s="280"/>
      <c r="D152" s="278"/>
      <c r="E152" s="278"/>
      <c r="F152" s="278"/>
      <c r="G152" s="280"/>
      <c r="H152" s="280"/>
      <c r="I152" s="278"/>
      <c r="J152" s="279"/>
      <c r="K152" s="280"/>
      <c r="L152" s="278"/>
      <c r="M152" s="278"/>
    </row>
    <row r="153" spans="2:13" ht="28" customHeight="1">
      <c r="B153" s="277"/>
      <c r="C153" s="280"/>
      <c r="D153" s="278"/>
      <c r="E153" s="278"/>
      <c r="F153" s="278"/>
      <c r="G153" s="280"/>
      <c r="H153" s="280"/>
      <c r="I153" s="278"/>
      <c r="J153" s="279"/>
      <c r="K153" s="280"/>
      <c r="L153" s="278"/>
      <c r="M153" s="278"/>
    </row>
    <row r="154" spans="2:13" ht="28" customHeight="1">
      <c r="B154" s="277"/>
      <c r="C154" s="280"/>
      <c r="D154" s="278"/>
      <c r="E154" s="278"/>
      <c r="F154" s="278"/>
      <c r="G154" s="280"/>
      <c r="H154" s="280"/>
      <c r="I154" s="278"/>
      <c r="J154" s="279"/>
      <c r="K154" s="280"/>
      <c r="L154"/>
      <c r="M154" s="278"/>
    </row>
    <row r="155" spans="2:13" ht="28" customHeight="1">
      <c r="B155" s="277"/>
      <c r="C155" s="280"/>
      <c r="D155" s="278"/>
      <c r="E155" s="278"/>
      <c r="F155" s="278"/>
      <c r="G155" s="280"/>
      <c r="H155" s="280"/>
      <c r="I155" s="278"/>
      <c r="J155" s="279"/>
      <c r="K155" s="280"/>
      <c r="L155" s="278"/>
      <c r="M155" s="278"/>
    </row>
    <row r="156" spans="2:13" ht="28" customHeight="1">
      <c r="B156" s="277"/>
      <c r="C156" s="280"/>
      <c r="D156" s="278"/>
      <c r="E156" s="278"/>
      <c r="F156" s="278"/>
      <c r="G156" s="280"/>
      <c r="H156" s="280"/>
      <c r="I156" s="278"/>
      <c r="J156" s="279"/>
      <c r="K156" s="280"/>
      <c r="L156" s="278"/>
      <c r="M156" s="278"/>
    </row>
    <row r="157" spans="2:13" ht="28" customHeight="1">
      <c r="B157" s="277"/>
      <c r="C157" s="280"/>
      <c r="D157" s="278"/>
      <c r="E157" s="278"/>
      <c r="F157" s="278"/>
      <c r="G157" s="280"/>
      <c r="H157" s="280"/>
      <c r="I157" s="278"/>
      <c r="J157" s="279"/>
      <c r="K157" s="280"/>
      <c r="L157" s="278"/>
      <c r="M157" s="278"/>
    </row>
    <row r="158" spans="2:13" ht="28" customHeight="1">
      <c r="B158" s="277"/>
      <c r="C158" s="280"/>
      <c r="D158" s="278"/>
      <c r="E158" s="278"/>
      <c r="F158" s="278"/>
      <c r="G158" s="278"/>
      <c r="H158" s="278"/>
      <c r="I158" s="278"/>
      <c r="J158" s="279"/>
      <c r="K158" s="280"/>
      <c r="L158" s="278"/>
      <c r="M158" s="278"/>
    </row>
    <row r="159" spans="2:13" ht="28" customHeight="1">
      <c r="B159" s="277"/>
      <c r="C159" s="280"/>
      <c r="D159" s="278"/>
      <c r="E159" s="278"/>
      <c r="F159" s="278"/>
      <c r="G159" s="278"/>
      <c r="H159" s="278"/>
      <c r="I159" s="278"/>
      <c r="J159" s="279"/>
      <c r="K159" s="280"/>
      <c r="L159" s="278"/>
      <c r="M159" s="278"/>
    </row>
    <row r="160" spans="2:13" ht="28" customHeight="1">
      <c r="B160" s="277"/>
      <c r="C160" s="280"/>
      <c r="D160" s="278"/>
      <c r="E160" s="278"/>
      <c r="F160" s="278"/>
      <c r="G160" s="278"/>
      <c r="H160" s="278"/>
      <c r="I160" s="278"/>
      <c r="J160" s="279"/>
      <c r="K160" s="280"/>
      <c r="L160" s="278"/>
      <c r="M160" s="278"/>
    </row>
    <row r="161" spans="2:13" ht="28" customHeight="1">
      <c r="B161" s="277"/>
      <c r="C161" s="280"/>
      <c r="D161" s="278"/>
      <c r="E161" s="278"/>
      <c r="F161" s="278"/>
      <c r="G161" s="278"/>
      <c r="H161" s="278"/>
      <c r="I161" s="278"/>
      <c r="J161" s="279"/>
      <c r="K161" s="280"/>
      <c r="L161" s="278"/>
      <c r="M161" s="278"/>
    </row>
    <row r="162" spans="2:13" ht="28" customHeight="1">
      <c r="B162" s="277"/>
      <c r="C162" s="280"/>
      <c r="D162" s="278"/>
      <c r="E162" s="278"/>
      <c r="F162" s="278"/>
      <c r="G162" s="278"/>
      <c r="H162" s="278"/>
      <c r="I162" s="278"/>
      <c r="J162" s="279"/>
      <c r="K162" s="280"/>
      <c r="L162" s="278"/>
      <c r="M162" s="278"/>
    </row>
    <row r="163" spans="2:13" ht="28" customHeight="1">
      <c r="B163" s="277"/>
      <c r="C163" s="280"/>
      <c r="D163" s="278"/>
      <c r="E163" s="278"/>
      <c r="F163" s="278"/>
      <c r="G163" s="278"/>
      <c r="H163" s="278"/>
      <c r="I163" s="278"/>
      <c r="J163" s="279"/>
      <c r="K163" s="280"/>
      <c r="L163" s="278"/>
      <c r="M163" s="278"/>
    </row>
    <row r="164" spans="2:13" ht="28" customHeight="1">
      <c r="B164" s="277"/>
      <c r="C164" s="280"/>
      <c r="D164" s="278"/>
      <c r="E164" s="278"/>
      <c r="F164" s="278"/>
      <c r="G164" s="278"/>
      <c r="H164" s="278"/>
      <c r="I164" s="278"/>
      <c r="J164" s="279"/>
      <c r="K164" s="280"/>
      <c r="L164" s="278"/>
      <c r="M164" s="278"/>
    </row>
    <row r="165" spans="2:13" ht="28" customHeight="1">
      <c r="B165" s="280"/>
      <c r="C165" s="280"/>
      <c r="D165" s="280"/>
      <c r="E165" s="280"/>
      <c r="F165" s="280"/>
      <c r="G165" s="280"/>
      <c r="H165" s="280"/>
      <c r="I165" s="278"/>
      <c r="J165" s="280"/>
      <c r="K165" s="280"/>
      <c r="L165" s="280"/>
      <c r="M165" s="280"/>
    </row>
    <row r="166" spans="2:13" ht="28" customHeight="1">
      <c r="B166" s="280"/>
      <c r="C166" s="280"/>
      <c r="D166" s="280"/>
      <c r="E166" s="280"/>
      <c r="F166" s="280"/>
      <c r="G166" s="280"/>
      <c r="H166" s="280"/>
      <c r="I166" s="278"/>
      <c r="J166" s="280"/>
      <c r="K166" s="280"/>
      <c r="L166" s="280"/>
      <c r="M166" s="280"/>
    </row>
    <row r="167" spans="2:13" ht="28" customHeight="1">
      <c r="B167" s="280"/>
      <c r="C167" s="280"/>
      <c r="D167" s="278"/>
      <c r="E167" s="278"/>
      <c r="F167" s="278"/>
      <c r="G167" s="280"/>
      <c r="H167" s="280"/>
      <c r="I167" s="278"/>
      <c r="J167" s="279"/>
      <c r="K167" s="280"/>
      <c r="L167" s="280"/>
      <c r="M167" s="278"/>
    </row>
    <row r="168" spans="2:13" ht="28" customHeight="1">
      <c r="B168" s="280"/>
      <c r="C168" s="280"/>
      <c r="D168" s="280"/>
      <c r="E168" s="280"/>
      <c r="F168" s="280"/>
      <c r="G168" s="280"/>
      <c r="H168" s="278"/>
      <c r="I168" s="278"/>
      <c r="J168" s="280"/>
      <c r="K168" s="280"/>
      <c r="L168" s="278"/>
      <c r="M168" s="280"/>
    </row>
    <row r="169" spans="2:13" ht="28" customHeight="1">
      <c r="B169" s="280"/>
      <c r="C169" s="280"/>
      <c r="D169" s="280"/>
      <c r="E169" s="280"/>
      <c r="F169" s="280"/>
      <c r="G169" s="280"/>
      <c r="H169" s="280"/>
      <c r="I169" s="278"/>
      <c r="J169" s="280"/>
      <c r="K169" s="280"/>
      <c r="L169" s="280"/>
      <c r="M169" s="280"/>
    </row>
    <row r="170" spans="2:13" ht="28" customHeight="1">
      <c r="B170" s="280"/>
      <c r="C170" s="280"/>
      <c r="D170" s="280"/>
      <c r="E170" s="280"/>
      <c r="F170" s="280"/>
      <c r="G170" s="280"/>
      <c r="H170" s="280"/>
      <c r="I170" s="278"/>
      <c r="J170" s="280"/>
      <c r="K170" s="280"/>
      <c r="L170" s="280"/>
      <c r="M170" s="280"/>
    </row>
    <row r="171" spans="2:13" ht="28" customHeight="1">
      <c r="B171" s="280"/>
      <c r="C171" s="280"/>
      <c r="D171" s="280"/>
      <c r="E171" s="280"/>
      <c r="F171" s="280"/>
      <c r="G171" s="280"/>
      <c r="H171" s="280"/>
      <c r="I171" s="278"/>
      <c r="J171" s="280"/>
      <c r="K171" s="280"/>
      <c r="L171" s="280"/>
      <c r="M171" s="280"/>
    </row>
    <row r="172" spans="2:13" ht="28" customHeight="1">
      <c r="B172" s="280"/>
      <c r="C172" s="280"/>
      <c r="D172" s="278"/>
      <c r="E172" s="278"/>
      <c r="F172" s="278"/>
      <c r="G172" s="280"/>
      <c r="H172" s="278"/>
      <c r="I172" s="278"/>
      <c r="J172" s="279"/>
      <c r="K172" s="280"/>
      <c r="L172" s="280"/>
      <c r="M172" s="278"/>
    </row>
    <row r="173" spans="2:13" ht="28" customHeight="1">
      <c r="B173" s="280"/>
      <c r="C173" s="280"/>
      <c r="D173" s="280"/>
      <c r="E173" s="280"/>
      <c r="F173" s="280"/>
      <c r="G173" s="280"/>
      <c r="H173" s="280"/>
      <c r="I173" s="278"/>
      <c r="J173" s="280"/>
      <c r="K173" s="280"/>
      <c r="L173" s="280"/>
      <c r="M173" s="280"/>
    </row>
    <row r="174" spans="2:13" ht="28" customHeight="1">
      <c r="B174" s="280"/>
      <c r="C174" s="280"/>
      <c r="D174" s="280"/>
      <c r="E174" s="280"/>
      <c r="F174" s="280"/>
      <c r="G174" s="280"/>
      <c r="H174" s="280"/>
      <c r="I174" s="278"/>
      <c r="J174" s="280"/>
      <c r="K174" s="280"/>
      <c r="L174" s="280"/>
      <c r="M174" s="280"/>
    </row>
    <row r="175" spans="2:13" ht="28" customHeight="1">
      <c r="B175" s="280"/>
      <c r="C175" s="280"/>
      <c r="D175" s="278"/>
      <c r="E175" s="278"/>
      <c r="F175" s="278"/>
      <c r="G175" s="278"/>
      <c r="H175" s="278"/>
      <c r="I175" s="278"/>
      <c r="J175" s="279"/>
      <c r="K175" s="280"/>
      <c r="L175" s="278"/>
      <c r="M175" s="278"/>
    </row>
    <row r="176" spans="2:13" ht="28" customHeight="1">
      <c r="B176" s="280"/>
      <c r="C176" s="280"/>
      <c r="D176" s="278"/>
      <c r="E176" s="278"/>
      <c r="F176" s="278"/>
      <c r="G176" s="278"/>
      <c r="H176" s="278"/>
      <c r="I176" s="278"/>
      <c r="J176" s="279"/>
      <c r="K176" s="280"/>
      <c r="L176" s="278"/>
      <c r="M176" s="278"/>
    </row>
    <row r="177" spans="2:13" ht="28" customHeight="1">
      <c r="B177" s="280"/>
      <c r="C177" s="280"/>
      <c r="D177" s="280"/>
      <c r="E177" s="280"/>
      <c r="F177" s="280"/>
      <c r="G177" s="278"/>
      <c r="H177" s="278"/>
      <c r="I177" s="278"/>
      <c r="J177" s="280"/>
      <c r="K177" s="280"/>
      <c r="L177" s="278"/>
      <c r="M177" s="280"/>
    </row>
    <row r="178" spans="2:13" ht="28" customHeight="1">
      <c r="B178" s="280"/>
      <c r="C178" s="280"/>
      <c r="D178" s="280"/>
      <c r="E178" s="280"/>
      <c r="F178" s="280"/>
      <c r="G178" s="280"/>
      <c r="H178" s="280"/>
      <c r="I178" s="278"/>
      <c r="J178" s="280"/>
      <c r="K178" s="280"/>
      <c r="L178" s="280"/>
      <c r="M178" s="280"/>
    </row>
    <row r="179" spans="2:13" ht="28" customHeight="1">
      <c r="B179" s="280"/>
      <c r="C179" s="280"/>
      <c r="D179" s="280"/>
      <c r="E179" s="280"/>
      <c r="F179" s="280"/>
      <c r="G179" s="280"/>
      <c r="H179" s="280"/>
      <c r="I179" s="278"/>
      <c r="J179" s="280"/>
      <c r="K179" s="280"/>
      <c r="L179" s="280"/>
      <c r="M179" s="280"/>
    </row>
    <row r="180" spans="2:13" ht="28" customHeight="1">
      <c r="B180" s="280"/>
      <c r="C180" s="280"/>
      <c r="D180" s="280"/>
      <c r="E180" s="280"/>
      <c r="F180" s="280"/>
      <c r="G180" s="280"/>
      <c r="H180" s="280"/>
      <c r="I180" s="278"/>
      <c r="J180" s="279"/>
      <c r="K180" s="280"/>
      <c r="L180" s="278"/>
      <c r="M180" s="278"/>
    </row>
    <row r="181" spans="2:13" ht="28" customHeight="1">
      <c r="B181" s="280"/>
      <c r="C181" s="280"/>
      <c r="D181" s="280"/>
      <c r="E181" s="280"/>
      <c r="F181" s="280"/>
      <c r="G181" s="280"/>
      <c r="H181" s="280"/>
      <c r="I181" s="278"/>
      <c r="J181" s="280"/>
      <c r="K181" s="280"/>
      <c r="L181" s="280"/>
      <c r="M181" s="280"/>
    </row>
    <row r="182" spans="2:13" ht="28" customHeight="1">
      <c r="B182" s="280"/>
      <c r="C182" s="280"/>
      <c r="D182" s="280"/>
      <c r="E182" s="280"/>
      <c r="F182" s="280"/>
      <c r="G182" s="280"/>
      <c r="H182" s="280"/>
      <c r="I182" s="278"/>
      <c r="J182" s="280"/>
      <c r="K182" s="280"/>
      <c r="L182" s="280"/>
      <c r="M182" s="280"/>
    </row>
    <row r="183" spans="2:13" ht="28" customHeight="1">
      <c r="B183" s="280"/>
      <c r="C183" s="280"/>
      <c r="D183" s="280"/>
      <c r="E183" s="280"/>
      <c r="F183" s="278"/>
      <c r="G183" s="280"/>
      <c r="H183" s="278"/>
      <c r="I183" s="278"/>
      <c r="J183" s="279"/>
      <c r="K183" s="280"/>
      <c r="L183" s="278"/>
      <c r="M183" s="278"/>
    </row>
    <row r="184" spans="2:13" ht="28" customHeight="1">
      <c r="B184" s="280"/>
      <c r="C184" s="280"/>
      <c r="D184" s="280"/>
      <c r="E184" s="280"/>
      <c r="F184" s="278"/>
      <c r="G184" s="280"/>
      <c r="H184" s="278"/>
      <c r="I184" s="278"/>
      <c r="J184" s="279"/>
      <c r="K184" s="280"/>
      <c r="L184" s="278"/>
      <c r="M184" s="278"/>
    </row>
    <row r="185" spans="2:13" ht="28" customHeight="1">
      <c r="B185" s="280"/>
      <c r="C185" s="280"/>
      <c r="D185" s="280"/>
      <c r="E185" s="280"/>
      <c r="F185" s="278"/>
      <c r="G185" s="280"/>
      <c r="H185" s="278"/>
      <c r="I185" s="278"/>
      <c r="J185" s="279"/>
      <c r="K185" s="280"/>
      <c r="L185"/>
      <c r="M185" s="278"/>
    </row>
    <row r="186" spans="2:13" ht="28" customHeight="1">
      <c r="B186" s="280"/>
      <c r="C186" s="280"/>
      <c r="D186" s="280"/>
      <c r="E186" s="280"/>
      <c r="F186" s="278"/>
      <c r="G186" s="280"/>
      <c r="H186" s="278"/>
      <c r="I186" s="278"/>
      <c r="J186" s="279"/>
      <c r="K186" s="280"/>
      <c r="L186" s="278"/>
      <c r="M186" s="278"/>
    </row>
    <row r="187" spans="2:13" ht="28" customHeight="1">
      <c r="B187" s="280"/>
      <c r="C187" s="280"/>
      <c r="D187" s="280"/>
      <c r="E187" s="280"/>
      <c r="F187" s="278"/>
      <c r="G187" s="280"/>
      <c r="H187" s="278"/>
      <c r="I187" s="278"/>
      <c r="J187" s="279"/>
      <c r="K187" s="280"/>
      <c r="L187"/>
      <c r="M187" s="278"/>
    </row>
    <row r="188" spans="2:13" ht="28" customHeight="1">
      <c r="B188" s="280"/>
      <c r="C188" s="280"/>
      <c r="D188" s="280"/>
      <c r="E188" s="280"/>
      <c r="F188" s="278"/>
      <c r="G188" s="280"/>
      <c r="H188" s="278"/>
      <c r="I188" s="278"/>
      <c r="J188" s="279"/>
      <c r="K188" s="280"/>
      <c r="L188"/>
      <c r="M188" s="278"/>
    </row>
    <row r="189" spans="2:13" ht="28" customHeight="1">
      <c r="B189" s="280"/>
      <c r="C189" s="280"/>
      <c r="D189" s="280"/>
      <c r="E189" s="280"/>
      <c r="F189" s="278"/>
      <c r="G189" s="280"/>
      <c r="H189" s="278"/>
      <c r="I189" s="278"/>
      <c r="J189" s="279"/>
      <c r="K189" s="280"/>
      <c r="L189" s="278"/>
      <c r="M189" s="278"/>
    </row>
    <row r="190" spans="2:13" ht="28" customHeight="1">
      <c r="B190" s="280"/>
      <c r="C190" s="280"/>
      <c r="D190" s="280"/>
      <c r="E190" s="280"/>
      <c r="F190" s="278"/>
      <c r="G190" s="280"/>
      <c r="H190" s="278"/>
      <c r="I190" s="278"/>
      <c r="J190" s="279"/>
      <c r="K190" s="280"/>
      <c r="L190" s="278"/>
      <c r="M190" s="278"/>
    </row>
    <row r="191" spans="2:13" ht="28" customHeight="1">
      <c r="B191" s="280"/>
      <c r="C191" s="280"/>
      <c r="D191" s="280"/>
      <c r="E191" s="280"/>
      <c r="F191" s="278"/>
      <c r="G191" s="280"/>
      <c r="H191" s="278"/>
      <c r="I191" s="278"/>
      <c r="J191" s="279"/>
      <c r="K191" s="280"/>
      <c r="L191" s="278"/>
      <c r="M191" s="278"/>
    </row>
    <row r="192" spans="2:13" ht="28" customHeight="1">
      <c r="B192" s="280"/>
      <c r="C192" s="280"/>
      <c r="D192" s="280"/>
      <c r="E192" s="280"/>
      <c r="F192" s="278"/>
      <c r="G192" s="280"/>
      <c r="H192" s="278"/>
      <c r="I192" s="278"/>
      <c r="J192" s="279"/>
      <c r="K192" s="280"/>
      <c r="L192" s="278"/>
      <c r="M192" s="278"/>
    </row>
    <row r="193" spans="2:13" ht="28" customHeight="1">
      <c r="B193" s="280"/>
      <c r="C193" s="280"/>
      <c r="D193" s="280"/>
      <c r="E193" s="280"/>
      <c r="F193" s="278"/>
      <c r="G193" s="280"/>
      <c r="H193" s="278"/>
      <c r="I193" s="278"/>
      <c r="J193" s="279"/>
      <c r="K193" s="280"/>
      <c r="L193" s="278"/>
      <c r="M193" s="278"/>
    </row>
    <row r="194" spans="2:13" ht="28" customHeight="1">
      <c r="B194" s="280"/>
      <c r="C194" s="280"/>
      <c r="D194" s="280"/>
      <c r="E194" s="280"/>
      <c r="F194" s="278"/>
      <c r="G194" s="280"/>
      <c r="H194" s="278"/>
      <c r="I194" s="278"/>
      <c r="J194" s="279"/>
      <c r="K194" s="280"/>
      <c r="L194" s="278"/>
      <c r="M194" s="278"/>
    </row>
    <row r="195" spans="2:13" ht="28" customHeight="1">
      <c r="B195" s="280"/>
      <c r="C195" s="280"/>
      <c r="D195" s="280"/>
      <c r="E195" s="280"/>
      <c r="F195" s="278"/>
      <c r="G195" s="280"/>
      <c r="H195" s="278"/>
      <c r="I195" s="278"/>
      <c r="J195" s="279"/>
      <c r="K195" s="280"/>
      <c r="L195" s="278"/>
      <c r="M195" s="278"/>
    </row>
    <row r="196" spans="2:13" ht="28" customHeight="1">
      <c r="B196" s="280"/>
      <c r="C196" s="280"/>
      <c r="D196" s="280"/>
      <c r="E196" s="280"/>
      <c r="F196" s="280"/>
      <c r="G196" s="280"/>
      <c r="H196" s="280"/>
      <c r="I196" s="278"/>
      <c r="J196" s="280"/>
      <c r="K196" s="280"/>
      <c r="L196" s="280"/>
      <c r="M196" s="280"/>
    </row>
    <row r="197" spans="2:13" ht="28" customHeight="1">
      <c r="B197" s="280"/>
      <c r="C197" s="280"/>
      <c r="D197" s="280"/>
      <c r="E197" s="280"/>
      <c r="F197" s="280"/>
      <c r="G197" s="278"/>
      <c r="H197" s="278"/>
      <c r="I197" s="278"/>
      <c r="J197" s="280"/>
      <c r="K197" s="280"/>
      <c r="L197" s="280"/>
      <c r="M197" s="280"/>
    </row>
    <row r="198" spans="2:13" ht="28" customHeight="1">
      <c r="B198" s="280"/>
      <c r="C198" s="280"/>
      <c r="D198" s="280"/>
      <c r="E198" s="280"/>
      <c r="F198" s="280"/>
      <c r="G198" s="280"/>
      <c r="H198" s="280"/>
      <c r="I198" s="278"/>
      <c r="J198" s="280"/>
      <c r="K198" s="280"/>
      <c r="L198" s="280"/>
      <c r="M198" s="280"/>
    </row>
    <row r="199" spans="2:13" ht="28" customHeight="1">
      <c r="B199" s="280"/>
      <c r="C199" s="280"/>
      <c r="D199" s="280"/>
      <c r="E199" s="280"/>
      <c r="F199" s="280"/>
      <c r="G199" s="280"/>
      <c r="H199" s="278"/>
      <c r="I199" s="278"/>
      <c r="J199" s="279"/>
      <c r="K199" s="280"/>
      <c r="L199" s="278"/>
      <c r="M199" s="280"/>
    </row>
    <row r="200" spans="2:13" ht="28" customHeight="1">
      <c r="B200" s="280"/>
      <c r="C200" s="280"/>
      <c r="D200" s="278"/>
      <c r="E200" s="280"/>
      <c r="F200" s="280"/>
      <c r="G200" s="280"/>
      <c r="H200" s="280"/>
      <c r="I200" s="278"/>
      <c r="J200" s="280"/>
      <c r="K200" s="280"/>
      <c r="L200" s="278"/>
      <c r="M200" s="280"/>
    </row>
    <row r="201" spans="2:13" ht="28" customHeight="1">
      <c r="B201" s="280"/>
      <c r="C201" s="280"/>
      <c r="D201" s="278"/>
      <c r="E201" s="278"/>
      <c r="F201" s="278"/>
      <c r="G201" s="278"/>
      <c r="H201" s="278"/>
      <c r="I201" s="278"/>
      <c r="J201" s="279"/>
      <c r="K201" s="280"/>
      <c r="L201" s="278"/>
      <c r="M201" s="278"/>
    </row>
    <row r="202" spans="2:13" ht="28" customHeight="1">
      <c r="B202" s="280"/>
      <c r="C202" s="280"/>
      <c r="D202" s="280"/>
      <c r="E202" s="280"/>
      <c r="F202" s="280"/>
      <c r="G202" s="280"/>
      <c r="H202" s="280"/>
      <c r="I202" s="278"/>
      <c r="J202" s="280"/>
      <c r="K202" s="280"/>
      <c r="L202" s="280"/>
      <c r="M202" s="280"/>
    </row>
    <row r="203" spans="2:13" ht="28" customHeight="1">
      <c r="B203" s="280"/>
      <c r="C203" s="280"/>
      <c r="D203" s="280"/>
      <c r="E203" s="280"/>
      <c r="F203" s="280"/>
      <c r="G203" s="278"/>
      <c r="H203" s="278"/>
      <c r="I203" s="278"/>
      <c r="J203" s="280"/>
      <c r="K203" s="280"/>
      <c r="L203" s="280"/>
      <c r="M203" s="280"/>
    </row>
    <row r="204" spans="2:13" ht="28" customHeight="1">
      <c r="B204" s="280"/>
      <c r="C204" s="280"/>
      <c r="D204" s="278"/>
      <c r="E204" s="278"/>
      <c r="F204" s="278"/>
      <c r="G204" s="278"/>
      <c r="H204" s="278"/>
      <c r="I204" s="278"/>
      <c r="J204" s="279"/>
      <c r="K204" s="280"/>
      <c r="L204" s="278"/>
      <c r="M204" s="278"/>
    </row>
    <row r="205" spans="2:13" ht="28" customHeight="1">
      <c r="B205" s="280"/>
      <c r="C205" s="280"/>
      <c r="D205" s="280"/>
      <c r="E205" s="280"/>
      <c r="F205" s="280"/>
      <c r="G205" s="280"/>
      <c r="H205" s="280"/>
      <c r="I205" s="278"/>
      <c r="J205" s="280"/>
      <c r="K205" s="280"/>
      <c r="L205" s="280"/>
      <c r="M205" s="280"/>
    </row>
    <row r="206" spans="2:13" ht="28" customHeight="1">
      <c r="B206" s="280"/>
      <c r="C206" s="280"/>
      <c r="D206" s="280"/>
      <c r="E206" s="280"/>
      <c r="F206" s="280"/>
      <c r="G206" s="280"/>
      <c r="H206" s="280"/>
      <c r="I206" s="278"/>
      <c r="J206" s="280"/>
      <c r="K206" s="280"/>
      <c r="L206" s="280"/>
      <c r="M206" s="280"/>
    </row>
    <row r="207" spans="2:13" ht="28" customHeight="1">
      <c r="B207" s="280"/>
      <c r="C207" s="280"/>
      <c r="D207" s="280"/>
      <c r="E207" s="280"/>
      <c r="F207" s="280"/>
      <c r="G207" s="280"/>
      <c r="H207" s="280"/>
      <c r="I207" s="278"/>
      <c r="J207" s="280"/>
      <c r="K207" s="280"/>
      <c r="L207" s="280"/>
      <c r="M207" s="280"/>
    </row>
    <row r="208" spans="2:13" ht="28" customHeight="1">
      <c r="B208" s="280"/>
      <c r="C208" s="280"/>
      <c r="D208" s="278"/>
      <c r="E208" s="278"/>
      <c r="F208" s="278"/>
      <c r="G208" s="278"/>
      <c r="H208" s="278"/>
      <c r="I208" s="278"/>
      <c r="J208" s="279"/>
      <c r="K208" s="280"/>
      <c r="L208" s="278"/>
      <c r="M208" s="278"/>
    </row>
    <row r="209" spans="2:13" ht="28" customHeight="1">
      <c r="B209" s="280"/>
      <c r="C209" s="280"/>
      <c r="D209" s="278"/>
      <c r="E209" s="278"/>
      <c r="F209" s="278"/>
      <c r="G209" s="278"/>
      <c r="H209" s="278"/>
      <c r="I209" s="278"/>
      <c r="J209" s="279"/>
      <c r="K209" s="280"/>
      <c r="L209" s="278"/>
      <c r="M209" s="278"/>
    </row>
    <row r="210" spans="2:13" ht="28" customHeight="1">
      <c r="B210" s="280"/>
      <c r="C210" s="280"/>
      <c r="D210" s="280"/>
      <c r="E210" s="280"/>
      <c r="F210" s="280"/>
      <c r="G210" s="280"/>
      <c r="H210" s="280"/>
      <c r="I210" s="278"/>
      <c r="J210" s="280"/>
      <c r="K210" s="280"/>
      <c r="L210" s="280"/>
      <c r="M210" s="280"/>
    </row>
    <row r="211" spans="2:13" ht="28" customHeight="1">
      <c r="B211" s="277"/>
      <c r="C211" s="280"/>
      <c r="D211" s="278"/>
      <c r="E211" s="278"/>
      <c r="F211" s="278"/>
      <c r="G211" s="278"/>
      <c r="H211" s="278"/>
      <c r="I211" s="278"/>
      <c r="J211" s="279"/>
      <c r="K211" s="280"/>
      <c r="L211" s="278"/>
      <c r="M211" s="278"/>
    </row>
    <row r="212" spans="2:13" ht="28" customHeight="1">
      <c r="B212" s="280"/>
      <c r="C212" s="280"/>
      <c r="D212" s="280"/>
      <c r="E212" s="280"/>
      <c r="F212" s="280"/>
      <c r="G212" s="280"/>
      <c r="H212" s="280"/>
      <c r="I212" s="278"/>
      <c r="J212" s="280"/>
      <c r="K212" s="280"/>
      <c r="L212" s="280"/>
      <c r="M212" s="280"/>
    </row>
    <row r="213" spans="2:13" ht="28" customHeight="1">
      <c r="B213" s="277"/>
      <c r="C213" s="280"/>
      <c r="D213" s="278"/>
      <c r="E213" s="278"/>
      <c r="F213" s="278"/>
      <c r="G213" s="280"/>
      <c r="H213" s="278"/>
      <c r="I213" s="278"/>
      <c r="J213" s="279"/>
      <c r="K213" s="280"/>
      <c r="L213" s="278"/>
      <c r="M213" s="278"/>
    </row>
    <row r="214" spans="2:13" ht="28" customHeight="1">
      <c r="B214" s="277"/>
      <c r="C214" s="280"/>
      <c r="D214" s="278"/>
      <c r="E214" s="278"/>
      <c r="F214" s="278"/>
      <c r="G214" s="280"/>
      <c r="H214" s="278"/>
      <c r="I214" s="278"/>
      <c r="J214" s="279"/>
      <c r="K214" s="280"/>
      <c r="L214" s="278"/>
      <c r="M214" s="278"/>
    </row>
    <row r="215" spans="2:13" ht="28" customHeight="1">
      <c r="B215" s="280"/>
      <c r="C215" s="280"/>
      <c r="D215" s="280"/>
      <c r="E215" s="280"/>
      <c r="F215" s="280"/>
      <c r="G215" s="280"/>
      <c r="H215" s="280"/>
      <c r="I215" s="278"/>
      <c r="J215" s="280"/>
      <c r="K215" s="280"/>
      <c r="L215" s="280"/>
      <c r="M215" s="280"/>
    </row>
    <row r="216" spans="2:13" ht="28" customHeight="1">
      <c r="B216" s="280"/>
      <c r="C216" s="280"/>
      <c r="D216" s="280"/>
      <c r="E216" s="280"/>
      <c r="F216" s="280"/>
      <c r="G216" s="280"/>
      <c r="H216" s="280"/>
      <c r="I216" s="278"/>
      <c r="J216" s="280"/>
      <c r="K216" s="280"/>
      <c r="L216" s="280"/>
      <c r="M216" s="280"/>
    </row>
    <row r="217" spans="2:13" ht="28" customHeight="1">
      <c r="B217" s="277"/>
      <c r="C217" s="280"/>
      <c r="D217" s="278"/>
      <c r="E217" s="278"/>
      <c r="F217" s="278"/>
      <c r="G217" s="280"/>
      <c r="H217" s="278"/>
      <c r="I217" s="278"/>
      <c r="J217" s="279"/>
      <c r="K217" s="280"/>
      <c r="L217" s="278"/>
      <c r="M217" s="278"/>
    </row>
    <row r="218" spans="2:13" ht="28" customHeight="1">
      <c r="B218" s="280"/>
      <c r="C218" s="280"/>
      <c r="D218" s="280"/>
      <c r="E218" s="280"/>
      <c r="F218" s="280"/>
      <c r="G218" s="280"/>
      <c r="H218" s="280"/>
      <c r="I218" s="278"/>
      <c r="J218" s="280"/>
      <c r="K218" s="280"/>
      <c r="L218" s="280"/>
      <c r="M218" s="280"/>
    </row>
    <row r="219" spans="2:13" ht="28" customHeight="1">
      <c r="B219" s="280"/>
      <c r="C219" s="280"/>
      <c r="D219" s="278"/>
      <c r="E219" s="278"/>
      <c r="F219" s="278"/>
      <c r="G219" s="278"/>
      <c r="H219" s="278"/>
      <c r="I219" s="278"/>
      <c r="J219" s="279"/>
      <c r="K219" s="280"/>
      <c r="L219" s="278"/>
      <c r="M219" s="278"/>
    </row>
    <row r="220" spans="2:13" ht="28" customHeight="1">
      <c r="B220" s="280"/>
      <c r="C220" s="280"/>
      <c r="D220" s="278"/>
      <c r="E220" s="278"/>
      <c r="F220" s="278"/>
      <c r="G220" s="278"/>
      <c r="H220" s="278"/>
      <c r="I220" s="278"/>
      <c r="J220" s="279"/>
      <c r="K220" s="280"/>
      <c r="L220" s="278"/>
      <c r="M220" s="278"/>
    </row>
    <row r="221" spans="2:13" ht="28" customHeight="1">
      <c r="B221" s="277"/>
      <c r="C221" s="280"/>
      <c r="D221" s="278"/>
      <c r="E221" s="278"/>
      <c r="F221" s="278"/>
      <c r="G221" s="280"/>
      <c r="H221" s="278"/>
      <c r="I221" s="278"/>
      <c r="J221" s="279"/>
      <c r="K221" s="280"/>
      <c r="L221" s="278"/>
      <c r="M221" s="278"/>
    </row>
    <row r="222" spans="2:13" ht="28" customHeight="1">
      <c r="B222" s="277"/>
      <c r="C222" s="280"/>
      <c r="D222" s="278"/>
      <c r="E222" s="278"/>
      <c r="F222" s="278"/>
      <c r="G222" s="280"/>
      <c r="H222" s="278"/>
      <c r="I222" s="278"/>
      <c r="J222" s="279"/>
      <c r="K222" s="280"/>
      <c r="L222" s="278"/>
      <c r="M222" s="278"/>
    </row>
    <row r="223" spans="2:13" ht="28" customHeight="1">
      <c r="B223" s="280"/>
      <c r="C223" s="280"/>
      <c r="D223" s="278"/>
      <c r="E223" s="278"/>
      <c r="F223" s="278"/>
      <c r="G223" s="280"/>
      <c r="H223" s="278"/>
      <c r="I223" s="278"/>
      <c r="J223" s="279"/>
      <c r="K223" s="280"/>
      <c r="L223" s="278"/>
      <c r="M223" s="278"/>
    </row>
    <row r="224" spans="2:13" ht="28" customHeight="1">
      <c r="B224" s="280"/>
      <c r="C224" s="280"/>
      <c r="D224" s="278"/>
      <c r="E224" s="278"/>
      <c r="F224" s="278"/>
      <c r="G224" s="280"/>
      <c r="H224" s="278"/>
      <c r="I224" s="278"/>
      <c r="J224" s="279"/>
      <c r="K224" s="280"/>
      <c r="L224" s="278"/>
      <c r="M224" s="278"/>
    </row>
    <row r="225" spans="2:13" ht="28" customHeight="1">
      <c r="B225" s="280"/>
      <c r="C225" s="280"/>
      <c r="D225" s="278"/>
      <c r="E225" s="278"/>
      <c r="F225" s="278"/>
      <c r="G225" s="280"/>
      <c r="H225" s="278"/>
      <c r="I225" s="278"/>
      <c r="J225" s="279"/>
      <c r="K225" s="280"/>
      <c r="L225" s="279"/>
      <c r="M225" s="278"/>
    </row>
    <row r="226" spans="2:13" ht="28" customHeight="1">
      <c r="B226" s="280"/>
      <c r="C226" s="280"/>
      <c r="D226" s="278"/>
      <c r="E226" s="278"/>
      <c r="F226" s="278"/>
      <c r="G226" s="280"/>
      <c r="H226" s="278"/>
      <c r="I226" s="278"/>
      <c r="J226" s="280"/>
      <c r="K226" s="280"/>
      <c r="L226" s="278"/>
      <c r="M226" s="278"/>
    </row>
    <row r="227" spans="2:13" ht="28" customHeight="1">
      <c r="B227" s="277"/>
      <c r="C227" s="280"/>
      <c r="D227" s="278"/>
      <c r="E227" s="278"/>
      <c r="F227" s="278"/>
      <c r="G227" s="278"/>
      <c r="H227" s="278"/>
      <c r="I227" s="278"/>
      <c r="J227" s="279"/>
      <c r="K227" s="280"/>
      <c r="L227" s="278"/>
      <c r="M227" s="278"/>
    </row>
    <row r="228" spans="2:13" ht="28" customHeight="1">
      <c r="B228" s="277"/>
      <c r="C228" s="280"/>
      <c r="D228" s="278"/>
      <c r="E228" s="278"/>
      <c r="F228" s="278"/>
      <c r="G228" s="278"/>
      <c r="H228" s="278"/>
      <c r="I228" s="278"/>
      <c r="J228" s="279"/>
      <c r="K228" s="280"/>
      <c r="L228"/>
      <c r="M228" s="278"/>
    </row>
    <row r="229" spans="2:13" ht="28" customHeight="1">
      <c r="B229" s="277"/>
      <c r="C229" s="280"/>
      <c r="D229" s="278"/>
      <c r="E229" s="278"/>
      <c r="F229" s="278"/>
      <c r="G229" s="278"/>
      <c r="H229" s="278"/>
      <c r="I229" s="278"/>
      <c r="J229" s="279"/>
      <c r="K229" s="280"/>
      <c r="L229" s="278"/>
      <c r="M229" s="278"/>
    </row>
    <row r="230" spans="2:13" ht="28" customHeight="1">
      <c r="B230" s="277"/>
      <c r="C230" s="280"/>
      <c r="D230" s="278"/>
      <c r="E230" s="278"/>
      <c r="F230" s="278"/>
      <c r="G230" s="278"/>
      <c r="H230" s="278"/>
      <c r="I230" s="278"/>
      <c r="J230" s="279"/>
      <c r="K230" s="280"/>
      <c r="L230" s="278"/>
      <c r="M230" s="278"/>
    </row>
    <row r="231" spans="2:13" ht="28" customHeight="1">
      <c r="B231" s="277"/>
      <c r="C231" s="280"/>
      <c r="D231" s="278"/>
      <c r="E231" s="278"/>
      <c r="F231" s="278"/>
      <c r="G231" s="278"/>
      <c r="H231" s="278"/>
      <c r="I231" s="278"/>
      <c r="J231" s="279"/>
      <c r="K231" s="280"/>
      <c r="L231"/>
      <c r="M231" s="278"/>
    </row>
    <row r="232" spans="2:13" ht="28" customHeight="1">
      <c r="B232" s="277"/>
      <c r="C232" s="280"/>
      <c r="D232" s="278"/>
      <c r="E232" s="278"/>
      <c r="F232" s="278"/>
      <c r="G232" s="278"/>
      <c r="H232" s="278"/>
      <c r="I232" s="278"/>
      <c r="J232" s="279"/>
      <c r="K232" s="280"/>
      <c r="L232" s="279"/>
      <c r="M232" s="278"/>
    </row>
    <row r="233" spans="2:13" ht="28" customHeight="1">
      <c r="B233" s="277"/>
      <c r="C233" s="280"/>
      <c r="D233" s="278"/>
      <c r="E233" s="278"/>
      <c r="F233" s="278"/>
      <c r="G233" s="278"/>
      <c r="H233" s="278"/>
      <c r="I233" s="278"/>
      <c r="J233" s="279"/>
      <c r="K233" s="280"/>
      <c r="L233" s="278"/>
      <c r="M233" s="278"/>
    </row>
    <row r="234" spans="2:13" ht="28" customHeight="1">
      <c r="B234" s="277"/>
      <c r="C234" s="280"/>
      <c r="D234" s="278"/>
      <c r="E234" s="278"/>
      <c r="F234" s="278"/>
      <c r="G234" s="278"/>
      <c r="H234" s="278"/>
      <c r="I234" s="278"/>
      <c r="J234" s="279"/>
      <c r="K234" s="280"/>
      <c r="L234"/>
      <c r="M234" s="278"/>
    </row>
    <row r="235" spans="2:13" ht="28" customHeight="1">
      <c r="B235" s="277"/>
      <c r="C235" s="280"/>
      <c r="D235" s="278"/>
      <c r="E235" s="278"/>
      <c r="F235" s="278"/>
      <c r="G235" s="278"/>
      <c r="H235" s="278"/>
      <c r="I235" s="278"/>
      <c r="J235" s="279"/>
      <c r="K235" s="280"/>
      <c r="L235" s="278"/>
      <c r="M235" s="278"/>
    </row>
    <row r="236" spans="2:13" ht="28" customHeight="1">
      <c r="B236" s="277"/>
      <c r="C236" s="280"/>
      <c r="D236" s="278"/>
      <c r="E236" s="278"/>
      <c r="F236" s="278"/>
      <c r="G236" s="278"/>
      <c r="H236" s="278"/>
      <c r="I236" s="278"/>
      <c r="J236" s="279"/>
      <c r="K236" s="280"/>
      <c r="L236" s="278"/>
      <c r="M236" s="278"/>
    </row>
    <row r="237" spans="2:13" ht="28" customHeight="1">
      <c r="B237" s="277"/>
      <c r="C237" s="280"/>
      <c r="D237" s="278"/>
      <c r="E237" s="278"/>
      <c r="F237" s="278"/>
      <c r="G237" s="278"/>
      <c r="H237" s="278"/>
      <c r="I237" s="278"/>
      <c r="J237" s="279"/>
      <c r="K237" s="280"/>
      <c r="L237"/>
      <c r="M237" s="278"/>
    </row>
    <row r="238" spans="2:13" ht="28" customHeight="1">
      <c r="B238" s="277"/>
      <c r="C238" s="280"/>
      <c r="D238" s="278"/>
      <c r="E238" s="278"/>
      <c r="F238" s="278"/>
      <c r="G238" s="278"/>
      <c r="H238" s="278"/>
      <c r="I238" s="278"/>
      <c r="J238" s="279"/>
      <c r="K238" s="280"/>
      <c r="L238" s="279"/>
      <c r="M238" s="278"/>
    </row>
    <row r="239" spans="2:13" ht="28" customHeight="1">
      <c r="B239" s="277"/>
      <c r="C239" s="280"/>
      <c r="D239" s="278"/>
      <c r="E239" s="278"/>
      <c r="F239" s="278"/>
      <c r="G239" s="280"/>
      <c r="H239" s="278"/>
      <c r="I239" s="278"/>
      <c r="J239" s="279"/>
      <c r="K239" s="280"/>
      <c r="L239" s="278"/>
      <c r="M239" s="278"/>
    </row>
    <row r="240" spans="2:13" ht="28" customHeight="1">
      <c r="B240" s="277"/>
      <c r="C240" s="280"/>
      <c r="D240" s="278"/>
      <c r="E240" s="278"/>
      <c r="F240" s="278"/>
      <c r="G240" s="280"/>
      <c r="H240" s="278"/>
      <c r="I240" s="278"/>
      <c r="J240" s="279"/>
      <c r="K240" s="280"/>
      <c r="L240" s="278"/>
      <c r="M240" s="278"/>
    </row>
    <row r="241" spans="2:13" ht="28" customHeight="1">
      <c r="B241" s="277"/>
      <c r="C241" s="280"/>
      <c r="D241" s="278"/>
      <c r="E241" s="278"/>
      <c r="F241" s="278"/>
      <c r="G241" s="280"/>
      <c r="H241" s="278"/>
      <c r="I241" s="278"/>
      <c r="J241" s="279"/>
      <c r="K241" s="280"/>
      <c r="L241" s="278"/>
      <c r="M241" s="278"/>
    </row>
    <row r="242" spans="2:13" ht="28" customHeight="1">
      <c r="B242" s="277"/>
      <c r="C242" s="280"/>
      <c r="D242" s="278"/>
      <c r="E242" s="278"/>
      <c r="F242" s="278"/>
      <c r="G242" s="280"/>
      <c r="H242" s="278"/>
      <c r="I242" s="278"/>
      <c r="J242" s="279"/>
      <c r="K242" s="280"/>
      <c r="L242" s="278"/>
      <c r="M242" s="278"/>
    </row>
    <row r="243" spans="2:13" ht="28" customHeight="1">
      <c r="B243" s="277"/>
      <c r="C243" s="280"/>
      <c r="D243" s="278"/>
      <c r="E243" s="278"/>
      <c r="F243" s="278"/>
      <c r="G243" s="280"/>
      <c r="H243" s="278"/>
      <c r="I243" s="278"/>
      <c r="J243" s="279"/>
      <c r="K243" s="280"/>
      <c r="L243" s="278"/>
      <c r="M243" s="278"/>
    </row>
    <row r="244" spans="2:13" ht="28" customHeight="1">
      <c r="B244" s="277"/>
      <c r="C244" s="280"/>
      <c r="D244" s="278"/>
      <c r="E244" s="278"/>
      <c r="F244" s="278"/>
      <c r="G244" s="280"/>
      <c r="H244" s="278"/>
      <c r="I244" s="278"/>
      <c r="J244" s="279"/>
      <c r="K244" s="280"/>
      <c r="L244" s="278"/>
      <c r="M244" s="278"/>
    </row>
    <row r="245" spans="2:13" ht="28" customHeight="1">
      <c r="B245" s="277"/>
      <c r="C245" s="280"/>
      <c r="D245" s="278"/>
      <c r="E245" s="278"/>
      <c r="F245" s="278"/>
      <c r="G245" s="280"/>
      <c r="H245" s="278"/>
      <c r="I245" s="278"/>
      <c r="J245" s="280"/>
      <c r="K245" s="280"/>
      <c r="L245" s="280"/>
      <c r="M245" s="278"/>
    </row>
    <row r="246" spans="2:13" ht="28" customHeight="1">
      <c r="B246" s="277"/>
      <c r="C246" s="280"/>
      <c r="D246" s="278"/>
      <c r="E246" s="278"/>
      <c r="F246" s="278"/>
      <c r="G246" s="278"/>
      <c r="H246" s="278"/>
      <c r="I246" s="278"/>
      <c r="J246" s="279"/>
      <c r="K246" s="280"/>
      <c r="L246" s="278"/>
      <c r="M246" s="278"/>
    </row>
    <row r="247" spans="2:13" ht="28" customHeight="1">
      <c r="B247" s="277"/>
      <c r="C247" s="280"/>
      <c r="D247" s="278"/>
      <c r="E247" s="278"/>
      <c r="F247" s="278"/>
      <c r="G247" s="278"/>
      <c r="H247" s="278"/>
      <c r="I247" s="278"/>
      <c r="J247" s="279"/>
      <c r="K247" s="280"/>
      <c r="L247" s="278"/>
      <c r="M247" s="278"/>
    </row>
    <row r="248" spans="2:13" ht="28" customHeight="1">
      <c r="B248" s="277"/>
      <c r="C248" s="280"/>
      <c r="D248" s="278"/>
      <c r="E248" s="278"/>
      <c r="F248" s="278"/>
      <c r="G248" s="278"/>
      <c r="H248" s="278"/>
      <c r="I248" s="278"/>
      <c r="J248" s="279"/>
      <c r="K248" s="280"/>
      <c r="L248" s="278"/>
      <c r="M248" s="278"/>
    </row>
    <row r="249" spans="2:13" ht="28" customHeight="1">
      <c r="B249" s="277"/>
      <c r="C249" s="280"/>
      <c r="D249" s="278"/>
      <c r="E249" s="278"/>
      <c r="F249" s="278"/>
      <c r="G249" s="278"/>
      <c r="H249" s="278"/>
      <c r="I249" s="278"/>
      <c r="J249" s="279"/>
      <c r="K249" s="280"/>
      <c r="L249" s="278"/>
      <c r="M249" s="278"/>
    </row>
    <row r="250" spans="2:13" ht="28" customHeight="1">
      <c r="B250" s="277"/>
      <c r="C250" s="280"/>
      <c r="D250" s="278"/>
      <c r="E250" s="278"/>
      <c r="F250" s="278"/>
      <c r="G250" s="278"/>
      <c r="H250" s="278"/>
      <c r="I250" s="278"/>
      <c r="J250" s="279"/>
      <c r="K250" s="280"/>
      <c r="L250" s="278"/>
      <c r="M250" s="278"/>
    </row>
    <row r="251" spans="2:13" ht="28" customHeight="1">
      <c r="B251" s="277"/>
      <c r="C251" s="280"/>
      <c r="D251" s="278"/>
      <c r="E251" s="278"/>
      <c r="F251" s="278"/>
      <c r="G251" s="278"/>
      <c r="H251" s="278"/>
      <c r="I251" s="278"/>
      <c r="J251" s="279"/>
      <c r="K251" s="280"/>
      <c r="L251" s="278"/>
      <c r="M251" s="278"/>
    </row>
    <row r="252" spans="2:13" ht="28" customHeight="1">
      <c r="B252" s="277"/>
      <c r="C252" s="280"/>
      <c r="D252" s="278"/>
      <c r="E252" s="278"/>
      <c r="F252" s="278"/>
      <c r="G252" s="280"/>
      <c r="H252" s="278"/>
      <c r="I252" s="278"/>
      <c r="J252" s="279"/>
      <c r="K252" s="280"/>
      <c r="L252" s="280"/>
      <c r="M252" s="278"/>
    </row>
    <row r="253" spans="2:13" ht="28" customHeight="1">
      <c r="B253" s="277"/>
      <c r="C253" s="280"/>
      <c r="D253" s="278"/>
      <c r="E253" s="278"/>
      <c r="F253" s="278"/>
      <c r="G253" s="278"/>
      <c r="H253" s="278"/>
      <c r="I253" s="278"/>
      <c r="J253" s="279"/>
      <c r="K253" s="280"/>
      <c r="L253" s="278"/>
      <c r="M253" s="278"/>
    </row>
    <row r="254" spans="2:13" ht="28" customHeight="1">
      <c r="B254" s="277"/>
      <c r="C254" s="280"/>
      <c r="D254" s="278"/>
      <c r="E254" s="278"/>
      <c r="F254" s="278"/>
      <c r="G254" s="278"/>
      <c r="H254" s="278"/>
      <c r="I254" s="278"/>
      <c r="J254" s="279"/>
      <c r="K254" s="280"/>
      <c r="L254" s="278"/>
      <c r="M254" s="278"/>
    </row>
    <row r="255" spans="2:13" ht="28" customHeight="1">
      <c r="B255" s="277"/>
      <c r="C255" s="280"/>
      <c r="D255" s="278"/>
      <c r="E255" s="278"/>
      <c r="F255" s="278"/>
      <c r="G255" s="280"/>
      <c r="H255" s="278"/>
      <c r="I255" s="278"/>
      <c r="J255" s="279"/>
      <c r="K255" s="280"/>
      <c r="L255" s="278"/>
      <c r="M255" s="278"/>
    </row>
    <row r="256" spans="2:13" ht="28" customHeight="1">
      <c r="B256" s="277"/>
      <c r="C256" s="280"/>
      <c r="D256" s="278"/>
      <c r="E256" s="278"/>
      <c r="F256" s="278"/>
      <c r="G256" s="280"/>
      <c r="H256" s="278"/>
      <c r="I256" s="278"/>
      <c r="J256" s="279"/>
      <c r="K256" s="280"/>
      <c r="L256" s="278"/>
      <c r="M256" s="278"/>
    </row>
    <row r="257" spans="2:13" ht="28" customHeight="1">
      <c r="B257" s="277"/>
      <c r="C257" s="280"/>
      <c r="D257" s="278"/>
      <c r="E257" s="278"/>
      <c r="F257" s="278"/>
      <c r="G257" s="280"/>
      <c r="H257" s="278"/>
      <c r="I257" s="278"/>
      <c r="J257" s="279"/>
      <c r="K257" s="280"/>
      <c r="L257" s="278"/>
      <c r="M257" s="278"/>
    </row>
    <row r="258" spans="2:13" ht="28" customHeight="1">
      <c r="B258" s="277"/>
      <c r="C258" s="280"/>
      <c r="D258" s="278"/>
      <c r="E258" s="278"/>
      <c r="F258" s="278"/>
      <c r="G258" s="280"/>
      <c r="H258" s="278"/>
      <c r="I258" s="278"/>
      <c r="J258" s="279"/>
      <c r="K258" s="280"/>
      <c r="L258" s="278"/>
      <c r="M258" s="278"/>
    </row>
    <row r="259" spans="2:13" ht="28" customHeight="1">
      <c r="B259" s="277"/>
      <c r="C259" s="280"/>
      <c r="D259" s="278"/>
      <c r="E259" s="278"/>
      <c r="F259" s="278"/>
      <c r="G259" s="280"/>
      <c r="H259" s="278"/>
      <c r="I259" s="278"/>
      <c r="J259" s="279"/>
      <c r="K259" s="280"/>
      <c r="L259" s="278"/>
      <c r="M259" s="278"/>
    </row>
    <row r="260" spans="2:13" ht="28" customHeight="1">
      <c r="B260" s="277"/>
      <c r="C260" s="280"/>
      <c r="D260" s="278"/>
      <c r="E260" s="278"/>
      <c r="F260" s="278"/>
      <c r="G260" s="280"/>
      <c r="H260" s="278"/>
      <c r="I260" s="278"/>
      <c r="J260" s="279"/>
      <c r="K260" s="280"/>
      <c r="L260" s="279"/>
      <c r="M260" s="278"/>
    </row>
    <row r="261" spans="2:13" ht="28" customHeight="1">
      <c r="B261" s="277"/>
      <c r="C261" s="280"/>
      <c r="D261" s="278"/>
      <c r="E261" s="278"/>
      <c r="F261" s="278"/>
      <c r="G261" s="280"/>
      <c r="H261" s="278"/>
      <c r="I261" s="278"/>
      <c r="J261" s="279"/>
      <c r="K261" s="280"/>
      <c r="L261" s="278"/>
      <c r="M261" s="278"/>
    </row>
    <row r="262" spans="2:13" ht="28" customHeight="1">
      <c r="B262" s="277"/>
      <c r="C262" s="280"/>
      <c r="D262" s="278"/>
      <c r="E262" s="278"/>
      <c r="F262" s="278"/>
      <c r="G262" s="280"/>
      <c r="H262" s="278"/>
      <c r="I262" s="278"/>
      <c r="J262" s="279"/>
      <c r="K262" s="280"/>
      <c r="L262" s="278"/>
      <c r="M262" s="278"/>
    </row>
    <row r="263" spans="2:13" ht="28" customHeight="1">
      <c r="B263" s="277"/>
      <c r="C263" s="280"/>
      <c r="D263" s="278"/>
      <c r="E263" s="278"/>
      <c r="F263" s="278"/>
      <c r="G263" s="280"/>
      <c r="H263" s="278"/>
      <c r="I263" s="278"/>
      <c r="J263" s="279"/>
      <c r="K263" s="280"/>
      <c r="L263" s="278"/>
      <c r="M263" s="278"/>
    </row>
    <row r="264" spans="2:13" ht="28" customHeight="1">
      <c r="B264" s="277"/>
      <c r="C264" s="280"/>
      <c r="D264" s="278"/>
      <c r="E264" s="278"/>
      <c r="F264" s="278"/>
      <c r="G264" s="280"/>
      <c r="H264" s="278"/>
      <c r="I264" s="278"/>
      <c r="J264" s="279"/>
      <c r="K264" s="280"/>
      <c r="L264" s="278"/>
      <c r="M264" s="278"/>
    </row>
    <row r="265" spans="2:13" ht="28" customHeight="1">
      <c r="B265" s="280"/>
      <c r="C265" s="280"/>
      <c r="D265" s="278"/>
      <c r="E265" s="278"/>
      <c r="F265" s="278"/>
      <c r="G265" s="278"/>
      <c r="H265" s="278"/>
      <c r="I265" s="278"/>
      <c r="J265" s="279"/>
      <c r="K265" s="280"/>
      <c r="L265" s="278"/>
      <c r="M265" s="278"/>
    </row>
    <row r="266" spans="2:13" ht="28" customHeight="1">
      <c r="B266" s="277"/>
      <c r="C266" s="280"/>
      <c r="D266" s="278"/>
      <c r="E266" s="278"/>
      <c r="F266" s="278"/>
      <c r="G266" s="280"/>
      <c r="H266" s="278"/>
      <c r="I266" s="278"/>
      <c r="J266" s="279"/>
      <c r="K266" s="280"/>
      <c r="L266" s="280"/>
      <c r="M266" s="278"/>
    </row>
    <row r="267" spans="2:13" ht="28" customHeight="1">
      <c r="B267" s="277"/>
      <c r="C267" s="280"/>
      <c r="D267" s="278"/>
      <c r="E267" s="278"/>
      <c r="F267" s="278"/>
      <c r="G267" s="280"/>
      <c r="H267" s="278"/>
      <c r="I267" s="278"/>
      <c r="J267" s="279"/>
      <c r="K267" s="280"/>
      <c r="L267" s="278"/>
      <c r="M267" s="278"/>
    </row>
    <row r="268" spans="2:13" ht="28" customHeight="1">
      <c r="B268" s="280"/>
      <c r="C268" s="280"/>
      <c r="D268" s="280"/>
      <c r="E268" s="280"/>
      <c r="F268" s="280"/>
      <c r="G268" s="280"/>
      <c r="H268" s="280"/>
      <c r="I268" s="278"/>
      <c r="J268" s="280"/>
      <c r="K268" s="280"/>
      <c r="L268" s="280"/>
      <c r="M268" s="280"/>
    </row>
    <row r="269" spans="2:13" ht="28" customHeight="1">
      <c r="B269" s="277"/>
      <c r="C269" s="280"/>
      <c r="D269" s="278"/>
      <c r="E269" s="278"/>
      <c r="F269" s="278"/>
      <c r="G269" s="280"/>
      <c r="H269" s="278"/>
      <c r="I269" s="278"/>
      <c r="J269" s="279"/>
      <c r="K269" s="280"/>
      <c r="L269" s="278"/>
      <c r="M269" s="278"/>
    </row>
    <row r="270" spans="2:13" ht="28" customHeight="1">
      <c r="B270" s="277"/>
      <c r="C270" s="280"/>
      <c r="D270" s="278"/>
      <c r="E270" s="278"/>
      <c r="F270" s="278"/>
      <c r="G270" s="280"/>
      <c r="H270" s="278"/>
      <c r="I270" s="278"/>
      <c r="J270" s="279"/>
      <c r="K270" s="280"/>
      <c r="L270" s="278"/>
      <c r="M270" s="278"/>
    </row>
    <row r="271" spans="2:13" ht="28" customHeight="1">
      <c r="B271" s="277"/>
      <c r="C271" s="280"/>
      <c r="D271" s="278"/>
      <c r="E271" s="278"/>
      <c r="F271" s="278"/>
      <c r="G271" s="280"/>
      <c r="H271" s="278"/>
      <c r="I271" s="278"/>
      <c r="J271" s="279"/>
      <c r="K271" s="280"/>
      <c r="L271" s="278"/>
      <c r="M271" s="278"/>
    </row>
    <row r="272" spans="2:13" ht="28" customHeight="1">
      <c r="B272" s="277"/>
      <c r="C272" s="280"/>
      <c r="D272" s="278"/>
      <c r="E272" s="278"/>
      <c r="F272" s="278"/>
      <c r="G272" s="280"/>
      <c r="H272" s="278"/>
      <c r="I272" s="278"/>
      <c r="J272" s="279"/>
      <c r="K272" s="280"/>
      <c r="L272" s="278"/>
      <c r="M272" s="278"/>
    </row>
    <row r="273" spans="2:13" ht="28" customHeight="1">
      <c r="B273" s="277"/>
      <c r="C273" s="280"/>
      <c r="D273" s="278"/>
      <c r="E273" s="278"/>
      <c r="F273" s="278"/>
      <c r="G273" s="280"/>
      <c r="H273" s="278"/>
      <c r="I273" s="278"/>
      <c r="J273" s="279"/>
      <c r="K273" s="280"/>
      <c r="L273" s="278"/>
      <c r="M273" s="278"/>
    </row>
    <row r="274" spans="2:13" ht="28" customHeight="1">
      <c r="B274" s="280"/>
      <c r="C274" s="280"/>
      <c r="D274" s="280"/>
      <c r="E274" s="280"/>
      <c r="F274" s="280"/>
      <c r="G274" s="280"/>
      <c r="H274" s="280"/>
      <c r="I274" s="278"/>
      <c r="J274" s="280"/>
      <c r="K274" s="280"/>
      <c r="L274" s="280"/>
      <c r="M274" s="280"/>
    </row>
    <row r="275" spans="2:13" ht="28" customHeight="1">
      <c r="B275" s="277"/>
      <c r="C275" s="280"/>
      <c r="D275" s="278"/>
      <c r="E275" s="278"/>
      <c r="F275" s="278"/>
      <c r="G275" s="280"/>
      <c r="H275" s="278"/>
      <c r="I275" s="278"/>
      <c r="J275" s="279"/>
      <c r="K275" s="280"/>
      <c r="L275" s="278"/>
      <c r="M275" s="278"/>
    </row>
    <row r="276" spans="2:13" ht="28" customHeight="1">
      <c r="B276" s="277"/>
      <c r="C276" s="280"/>
      <c r="D276" s="278"/>
      <c r="E276" s="278"/>
      <c r="F276" s="278"/>
      <c r="G276" s="280"/>
      <c r="H276" s="278"/>
      <c r="I276" s="278"/>
      <c r="J276" s="279"/>
      <c r="K276" s="280"/>
      <c r="L276" s="278"/>
      <c r="M276" s="278"/>
    </row>
    <row r="277" spans="2:13" ht="28" customHeight="1">
      <c r="B277" s="277"/>
      <c r="C277" s="280"/>
      <c r="D277" s="278"/>
      <c r="E277" s="278"/>
      <c r="F277" s="278"/>
      <c r="G277" s="280"/>
      <c r="H277" s="278"/>
      <c r="I277" s="278"/>
      <c r="J277" s="279"/>
      <c r="K277" s="280"/>
      <c r="L277" s="278"/>
      <c r="M277" s="278"/>
    </row>
    <row r="278" spans="2:13" ht="28" customHeight="1">
      <c r="B278" s="277"/>
      <c r="C278" s="280"/>
      <c r="D278" s="278"/>
      <c r="E278" s="278"/>
      <c r="F278" s="278"/>
      <c r="G278" s="280"/>
      <c r="H278" s="278"/>
      <c r="I278" s="278"/>
      <c r="J278" s="279"/>
      <c r="K278" s="280"/>
      <c r="L278" s="278"/>
      <c r="M278" s="278"/>
    </row>
    <row r="279" spans="2:13" ht="28" customHeight="1">
      <c r="B279" s="280"/>
      <c r="C279" s="280"/>
      <c r="D279" s="280"/>
      <c r="E279" s="280"/>
      <c r="F279" s="280"/>
      <c r="G279" s="280"/>
      <c r="H279" s="280"/>
      <c r="I279" s="278"/>
      <c r="J279" s="280"/>
      <c r="K279" s="280"/>
      <c r="L279" s="280"/>
      <c r="M279" s="280"/>
    </row>
    <row r="280" spans="2:13" ht="28" customHeight="1">
      <c r="B280" s="277"/>
      <c r="C280" s="280"/>
      <c r="D280" s="278"/>
      <c r="E280" s="278"/>
      <c r="F280" s="278"/>
      <c r="G280" s="280"/>
      <c r="H280" s="278"/>
      <c r="I280" s="278"/>
      <c r="J280" s="279"/>
      <c r="K280" s="280"/>
      <c r="L280" s="278"/>
      <c r="M280" s="280"/>
    </row>
    <row r="281" spans="2:13" ht="28" customHeight="1">
      <c r="B281" s="277"/>
      <c r="C281" s="280"/>
      <c r="D281" s="278"/>
      <c r="E281" s="278"/>
      <c r="F281" s="278"/>
      <c r="G281" s="280"/>
      <c r="H281" s="278"/>
      <c r="I281" s="278"/>
      <c r="J281" s="279"/>
      <c r="K281" s="280"/>
      <c r="L281" s="278"/>
      <c r="M281" s="280"/>
    </row>
    <row r="282" spans="2:13" ht="28" customHeight="1">
      <c r="B282" s="277"/>
      <c r="C282" s="280"/>
      <c r="D282" s="278"/>
      <c r="E282" s="278"/>
      <c r="F282" s="278"/>
      <c r="G282" s="280"/>
      <c r="H282" s="278"/>
      <c r="I282" s="278"/>
      <c r="J282" s="279"/>
      <c r="K282" s="280"/>
      <c r="L282"/>
      <c r="M282" s="280"/>
    </row>
    <row r="283" spans="2:13" ht="28" customHeight="1">
      <c r="B283" s="277"/>
      <c r="C283" s="280"/>
      <c r="D283" s="278"/>
      <c r="E283" s="278"/>
      <c r="F283" s="278"/>
      <c r="G283" s="280"/>
      <c r="H283" s="278"/>
      <c r="I283" s="278"/>
      <c r="J283" s="279"/>
      <c r="K283" s="280"/>
      <c r="L283"/>
      <c r="M283" s="280"/>
    </row>
    <row r="284" spans="2:13" ht="28" customHeight="1">
      <c r="B284" s="277"/>
      <c r="C284" s="280"/>
      <c r="D284" s="278"/>
      <c r="E284" s="278"/>
      <c r="F284" s="278"/>
      <c r="G284" s="280"/>
      <c r="H284" s="278"/>
      <c r="I284" s="278"/>
      <c r="J284" s="279"/>
      <c r="K284" s="280"/>
      <c r="L284" s="278"/>
      <c r="M284" s="280"/>
    </row>
    <row r="285" spans="2:13" ht="28" customHeight="1">
      <c r="B285" s="277"/>
      <c r="C285" s="280"/>
      <c r="D285" s="278"/>
      <c r="E285" s="278"/>
      <c r="F285" s="278"/>
      <c r="G285" s="280"/>
      <c r="H285" s="278"/>
      <c r="I285" s="278"/>
      <c r="J285" s="279"/>
      <c r="K285" s="280"/>
      <c r="L285"/>
      <c r="M285" s="280"/>
    </row>
    <row r="286" spans="2:13" ht="28" customHeight="1">
      <c r="B286" s="277"/>
      <c r="C286" s="280"/>
      <c r="D286" s="278"/>
      <c r="E286" s="278"/>
      <c r="F286" s="278"/>
      <c r="G286" s="280"/>
      <c r="H286" s="278"/>
      <c r="I286" s="278"/>
      <c r="J286" s="279"/>
      <c r="K286" s="280"/>
      <c r="L286" s="278"/>
      <c r="M286" s="280"/>
    </row>
    <row r="287" spans="2:13" ht="28" customHeight="1">
      <c r="B287" s="277"/>
      <c r="C287" s="280"/>
      <c r="D287" s="278"/>
      <c r="E287" s="278"/>
      <c r="F287" s="278"/>
      <c r="G287" s="280"/>
      <c r="H287" s="278"/>
      <c r="I287" s="278"/>
      <c r="J287" s="279"/>
      <c r="K287" s="280"/>
      <c r="L287" s="279"/>
      <c r="M287" s="280"/>
    </row>
    <row r="288" spans="2:13" ht="28" customHeight="1">
      <c r="B288" s="277"/>
      <c r="C288" s="280"/>
      <c r="D288" s="278"/>
      <c r="E288" s="278"/>
      <c r="F288" s="278"/>
      <c r="G288" s="278"/>
      <c r="H288" s="278"/>
      <c r="I288" s="278"/>
      <c r="J288" s="279"/>
      <c r="K288" s="280"/>
      <c r="L288" s="278"/>
      <c r="M288" s="278"/>
    </row>
    <row r="289" spans="2:13" ht="28" customHeight="1">
      <c r="B289" s="277"/>
      <c r="C289" s="280"/>
      <c r="D289" s="278"/>
      <c r="E289" s="278"/>
      <c r="F289" s="278"/>
      <c r="G289" s="278"/>
      <c r="H289" s="278"/>
      <c r="I289" s="278"/>
      <c r="J289" s="279"/>
      <c r="K289" s="280"/>
      <c r="L289" s="278"/>
      <c r="M289" s="278"/>
    </row>
    <row r="290" spans="2:13" ht="28" customHeight="1">
      <c r="B290" s="280"/>
      <c r="C290" s="280"/>
      <c r="D290" s="280"/>
      <c r="E290" s="280"/>
      <c r="F290" s="280"/>
      <c r="G290" s="280"/>
      <c r="H290" s="280"/>
      <c r="I290" s="278"/>
      <c r="J290" s="280"/>
      <c r="K290" s="280"/>
      <c r="L290" s="280"/>
      <c r="M290" s="280"/>
    </row>
    <row r="291" spans="2:13" ht="28" customHeight="1">
      <c r="B291" s="280"/>
      <c r="C291" s="280"/>
      <c r="D291" s="280"/>
      <c r="E291" s="280"/>
      <c r="F291" s="280"/>
      <c r="G291" s="280"/>
      <c r="H291" s="280"/>
      <c r="I291" s="278"/>
      <c r="J291" s="280"/>
      <c r="K291" s="280"/>
      <c r="L291" s="280"/>
      <c r="M291" s="280"/>
    </row>
    <row r="292" spans="2:13" ht="28" customHeight="1">
      <c r="B292" s="277"/>
      <c r="C292" s="280"/>
      <c r="D292" s="278"/>
      <c r="E292" s="278"/>
      <c r="F292" s="278"/>
      <c r="G292" s="280"/>
      <c r="H292" s="278"/>
      <c r="I292" s="278"/>
      <c r="J292" s="279"/>
      <c r="K292" s="280"/>
      <c r="L292" s="278"/>
      <c r="M292" s="278"/>
    </row>
    <row r="293" spans="2:13" ht="28" customHeight="1">
      <c r="B293" s="277"/>
      <c r="C293" s="280"/>
      <c r="D293" s="278"/>
      <c r="E293" s="278"/>
      <c r="F293" s="278"/>
      <c r="G293" s="280"/>
      <c r="H293" s="278"/>
      <c r="I293" s="278"/>
      <c r="J293" s="279"/>
      <c r="K293" s="280"/>
      <c r="L293" s="278"/>
      <c r="M293" s="278"/>
    </row>
    <row r="294" spans="2:13" ht="28" customHeight="1">
      <c r="B294" s="277"/>
      <c r="C294" s="280"/>
      <c r="D294" s="278"/>
      <c r="E294" s="278"/>
      <c r="F294" s="278"/>
      <c r="G294" s="280"/>
      <c r="H294" s="278"/>
      <c r="I294" s="278"/>
      <c r="J294" s="279"/>
      <c r="K294" s="280"/>
      <c r="L294" s="278"/>
      <c r="M294" s="278"/>
    </row>
    <row r="295" spans="2:13" ht="28" customHeight="1">
      <c r="B295" s="277"/>
      <c r="C295" s="280"/>
      <c r="D295" s="278"/>
      <c r="E295" s="278"/>
      <c r="F295" s="278"/>
      <c r="G295" s="280"/>
      <c r="H295" s="278"/>
      <c r="I295" s="278"/>
      <c r="J295" s="279"/>
      <c r="K295" s="280"/>
      <c r="L295" s="278"/>
      <c r="M295" s="278"/>
    </row>
    <row r="296" spans="2:13" ht="28" customHeight="1">
      <c r="B296" s="277"/>
      <c r="C296" s="280"/>
      <c r="D296" s="278"/>
      <c r="E296" s="278"/>
      <c r="F296" s="278"/>
      <c r="G296" s="280"/>
      <c r="H296" s="278"/>
      <c r="I296" s="278"/>
      <c r="J296" s="279"/>
      <c r="K296" s="280"/>
      <c r="L296" s="278"/>
      <c r="M296" s="278"/>
    </row>
    <row r="297" spans="2:13" ht="28" customHeight="1">
      <c r="B297" s="277"/>
      <c r="C297" s="280"/>
      <c r="D297" s="278"/>
      <c r="E297" s="278"/>
      <c r="F297" s="278"/>
      <c r="G297" s="280"/>
      <c r="H297" s="278"/>
      <c r="I297" s="278"/>
      <c r="J297" s="279"/>
      <c r="K297" s="280"/>
      <c r="L297" s="278"/>
      <c r="M297" s="278"/>
    </row>
    <row r="298" spans="2:13" ht="28" customHeight="1">
      <c r="B298" s="277"/>
      <c r="C298" s="280"/>
      <c r="D298" s="278"/>
      <c r="E298" s="278"/>
      <c r="F298" s="278"/>
      <c r="G298" s="280"/>
      <c r="H298" s="278"/>
      <c r="I298" s="278"/>
      <c r="J298" s="279"/>
      <c r="K298" s="280"/>
      <c r="L298" s="278"/>
      <c r="M298" s="278"/>
    </row>
    <row r="299" spans="2:13" ht="28" customHeight="1">
      <c r="B299" s="277"/>
      <c r="C299" s="280"/>
      <c r="D299" s="278"/>
      <c r="E299" s="278"/>
      <c r="F299" s="278"/>
      <c r="G299" s="280"/>
      <c r="H299" s="278"/>
      <c r="I299" s="278"/>
      <c r="J299" s="279"/>
      <c r="K299" s="280"/>
      <c r="L299" s="278"/>
      <c r="M299" s="278"/>
    </row>
    <row r="300" spans="2:13" ht="28" customHeight="1">
      <c r="B300" s="280"/>
      <c r="C300" s="280"/>
      <c r="D300" s="280"/>
      <c r="E300" s="280"/>
      <c r="F300" s="280"/>
      <c r="G300" s="280"/>
      <c r="H300" s="280"/>
      <c r="I300" s="278"/>
      <c r="J300" s="280"/>
      <c r="K300" s="280"/>
      <c r="L300" s="280"/>
      <c r="M300" s="280"/>
    </row>
    <row r="301" spans="2:13" ht="28" customHeight="1">
      <c r="B301" s="280"/>
      <c r="C301" s="280"/>
      <c r="D301" s="280"/>
      <c r="E301" s="280"/>
      <c r="F301" s="280"/>
      <c r="G301" s="280"/>
      <c r="H301" s="280"/>
      <c r="I301" s="278"/>
      <c r="J301" s="280"/>
      <c r="K301" s="280"/>
      <c r="L301" s="280"/>
      <c r="M301" s="280"/>
    </row>
    <row r="302" spans="2:13" ht="28" customHeight="1">
      <c r="B302" s="277"/>
      <c r="C302" s="278"/>
      <c r="D302" s="280"/>
      <c r="E302" s="280"/>
      <c r="F302" s="280"/>
      <c r="G302" s="280"/>
      <c r="H302" s="278"/>
      <c r="I302" s="278"/>
      <c r="J302" s="280"/>
      <c r="K302" s="280"/>
      <c r="L302" s="278"/>
      <c r="M302" s="278"/>
    </row>
    <row r="303" spans="2:13" ht="28" customHeight="1">
      <c r="B303" s="277"/>
      <c r="C303" s="278"/>
      <c r="D303" s="280"/>
      <c r="E303" s="280"/>
      <c r="F303" s="280"/>
      <c r="G303" s="280"/>
      <c r="H303" s="278"/>
      <c r="I303" s="278"/>
      <c r="J303" s="280"/>
      <c r="K303" s="280"/>
      <c r="L303" s="278"/>
      <c r="M303" s="278"/>
    </row>
    <row r="304" spans="2:13" ht="28" customHeight="1">
      <c r="B304" s="277"/>
      <c r="C304" s="278"/>
      <c r="D304" s="280"/>
      <c r="E304" s="280"/>
      <c r="F304" s="280"/>
      <c r="G304" s="280"/>
      <c r="H304" s="278"/>
      <c r="I304" s="278"/>
      <c r="J304" s="280"/>
      <c r="K304" s="280"/>
      <c r="L304" s="278"/>
      <c r="M304" s="278"/>
    </row>
    <row r="305" spans="2:13" ht="28" customHeight="1">
      <c r="B305" s="277"/>
      <c r="C305" s="278"/>
      <c r="D305" s="280"/>
      <c r="E305" s="280"/>
      <c r="F305" s="280"/>
      <c r="G305" s="280"/>
      <c r="H305" s="278"/>
      <c r="I305" s="278"/>
      <c r="J305" s="280"/>
      <c r="K305" s="280"/>
      <c r="L305" s="278"/>
      <c r="M305" s="278"/>
    </row>
    <row r="306" spans="2:13" ht="28" customHeight="1">
      <c r="B306" s="277"/>
      <c r="C306" s="278"/>
      <c r="D306" s="280"/>
      <c r="E306" s="280"/>
      <c r="F306" s="280"/>
      <c r="G306" s="280"/>
      <c r="H306" s="278"/>
      <c r="I306" s="278"/>
      <c r="J306" s="280"/>
      <c r="K306" s="280"/>
      <c r="L306"/>
      <c r="M306" s="278"/>
    </row>
    <row r="307" spans="2:13" ht="28" customHeight="1">
      <c r="B307" s="277"/>
      <c r="C307" s="278"/>
      <c r="D307" s="280"/>
      <c r="E307" s="280"/>
      <c r="F307" s="280"/>
      <c r="G307" s="280"/>
      <c r="H307" s="278"/>
      <c r="I307" s="278"/>
      <c r="J307" s="280"/>
      <c r="K307" s="280"/>
      <c r="L307" s="278"/>
      <c r="M307" s="278"/>
    </row>
    <row r="308" spans="2:13" ht="28" customHeight="1">
      <c r="B308" s="277"/>
      <c r="C308" s="278"/>
      <c r="D308" s="280"/>
      <c r="E308" s="280"/>
      <c r="F308" s="280"/>
      <c r="G308" s="280"/>
      <c r="H308" s="278"/>
      <c r="I308" s="278"/>
      <c r="J308" s="280"/>
      <c r="K308" s="280"/>
      <c r="L308" s="278"/>
      <c r="M308" s="278"/>
    </row>
    <row r="309" spans="2:13" ht="28" customHeight="1">
      <c r="B309" s="277"/>
      <c r="C309" s="278"/>
      <c r="D309" s="280"/>
      <c r="E309" s="280"/>
      <c r="F309" s="280"/>
      <c r="G309" s="280"/>
      <c r="H309" s="278"/>
      <c r="I309" s="278"/>
      <c r="J309" s="280"/>
      <c r="K309" s="280"/>
      <c r="L309" s="278"/>
      <c r="M309" s="278"/>
    </row>
    <row r="310" spans="2:13" ht="28" customHeight="1">
      <c r="B310" s="277"/>
      <c r="C310" s="278"/>
      <c r="D310" s="280"/>
      <c r="E310" s="280"/>
      <c r="F310" s="280"/>
      <c r="G310" s="280"/>
      <c r="H310" s="278"/>
      <c r="I310" s="278"/>
      <c r="J310" s="280"/>
      <c r="K310" s="280"/>
      <c r="L310" s="278"/>
      <c r="M310" s="278"/>
    </row>
    <row r="311" spans="2:13" ht="28" customHeight="1">
      <c r="B311" s="280"/>
      <c r="C311" s="280"/>
      <c r="D311" s="280"/>
      <c r="E311" s="280"/>
      <c r="F311" s="280"/>
      <c r="G311" s="280"/>
      <c r="H311" s="280"/>
      <c r="I311" s="278"/>
      <c r="J311" s="280"/>
      <c r="K311" s="280"/>
      <c r="L311" s="280"/>
      <c r="M311" s="280"/>
    </row>
    <row r="312" spans="2:13" ht="28" customHeight="1">
      <c r="B312" s="280"/>
      <c r="C312" s="280"/>
      <c r="D312" s="280"/>
      <c r="E312" s="280"/>
      <c r="F312" s="280"/>
      <c r="G312" s="280"/>
      <c r="H312" s="280"/>
      <c r="I312" s="278"/>
      <c r="J312" s="280"/>
      <c r="K312" s="280"/>
      <c r="L312" s="280"/>
      <c r="M312" s="280"/>
    </row>
    <row r="313" spans="2:13" ht="28" customHeight="1">
      <c r="B313" s="277"/>
      <c r="C313" s="278"/>
      <c r="D313" s="278"/>
      <c r="E313" s="278"/>
      <c r="F313" s="278"/>
      <c r="G313" s="278"/>
      <c r="H313" s="278"/>
      <c r="I313" s="278"/>
      <c r="J313" s="279"/>
      <c r="K313" s="280"/>
      <c r="L313" s="278"/>
      <c r="M313" s="278"/>
    </row>
    <row r="314" spans="2:13" ht="28" customHeight="1">
      <c r="B314" s="277"/>
      <c r="C314" s="278"/>
      <c r="D314" s="278"/>
      <c r="E314" s="278"/>
      <c r="F314" s="278"/>
      <c r="G314" s="280"/>
      <c r="H314" s="278"/>
      <c r="I314" s="278"/>
      <c r="J314" s="279"/>
      <c r="K314" s="280"/>
      <c r="L314" s="278"/>
      <c r="M314" s="280"/>
    </row>
    <row r="315" spans="2:13" ht="16">
      <c r="B315" s="277"/>
      <c r="C315" s="278"/>
      <c r="D315" s="278" t="s">
        <v>964</v>
      </c>
      <c r="E315" s="278"/>
      <c r="F315" s="278"/>
      <c r="G315" s="280"/>
      <c r="H315" s="278"/>
      <c r="I315" s="278"/>
      <c r="J315" s="279"/>
      <c r="K315" s="280"/>
      <c r="L315" s="278"/>
      <c r="M315" s="280"/>
    </row>
    <row r="316" spans="2:13" ht="16">
      <c r="B316" s="280"/>
      <c r="C316" s="278"/>
      <c r="D316" s="280"/>
      <c r="E316" s="280"/>
      <c r="F316" s="280"/>
      <c r="G316" s="280"/>
      <c r="H316" s="280"/>
      <c r="I316" s="278">
        <v>0</v>
      </c>
      <c r="J316" s="280"/>
      <c r="K316" s="280"/>
      <c r="L316" s="280"/>
      <c r="M316" s="280"/>
    </row>
  </sheetData>
  <phoneticPr fontId="50" type="noConversion"/>
  <hyperlinks>
    <hyperlink ref="J8" r:id="rId1" xr:uid="{00000000-0004-0000-0100-000000000000}"/>
  </hyperlinks>
  <pageMargins left="0.7" right="0.7" top="0.75" bottom="0.75" header="0.3" footer="0.3"/>
  <extLst>
    <ext xmlns:mx="http://schemas.microsoft.com/office/mac/excel/2008/main" uri="http://schemas.microsoft.com/office/mac/excel/2008/main">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B5"/>
  <sheetViews>
    <sheetView showGridLines="0" showRowColHeaders="0" view="pageLayout" topLeftCell="B1" zoomScale="125" zoomScaleNormal="125" zoomScalePageLayoutView="125" workbookViewId="0">
      <selection activeCell="B5" sqref="B5"/>
    </sheetView>
  </sheetViews>
  <sheetFormatPr baseColWidth="10" defaultRowHeight="18"/>
  <cols>
    <col min="1" max="1" width="96.75" customWidth="1"/>
    <col min="2" max="2" width="24.25" customWidth="1"/>
  </cols>
  <sheetData>
    <row r="1" spans="1:2">
      <c r="A1" s="148" t="str">
        <f>'Devis-Fact'!A20</f>
        <v xml:space="preserve">PRISES DE VUE &amp; DÉVELOPPEMENT NUMÉRIQUE </v>
      </c>
      <c r="B1" s="149">
        <f>SUM('Devis-Fact'!E21:E27)</f>
        <v>0</v>
      </c>
    </row>
    <row r="2" spans="1:2">
      <c r="A2" s="148" t="str">
        <f>'Devis-Fact'!A28</f>
        <v>RETOUCHE &amp; MONTAGE (Travail de modification des fichiers)</v>
      </c>
      <c r="B2" s="149">
        <f>SUM('Devis-Fact'!E29:E31)</f>
        <v>0</v>
      </c>
    </row>
    <row r="3" spans="1:2">
      <c r="A3" s="148" t="str">
        <f>'Devis-Fact'!A32</f>
        <v>RÉMUNERATION FORFAITAIRE DES DROITS D'UTILISATION</v>
      </c>
      <c r="B3" s="149">
        <f>SUM('Devis-Fact'!E33:E43)</f>
        <v>0</v>
      </c>
    </row>
    <row r="4" spans="1:2">
      <c r="A4" s="148" t="str">
        <f>'Devis-Fact'!A47</f>
        <v>RÉMUNERATION DE L'ÉQUIPE</v>
      </c>
      <c r="B4" s="149">
        <f>SUM('Devis-Fact'!E48:E56)</f>
        <v>0</v>
      </c>
    </row>
    <row r="5" spans="1:2">
      <c r="A5" s="148" t="str">
        <f>'Devis-Fact'!A57</f>
        <v>FRAIS DE DÉPLACEMENT (Sur forfaits ou sur justificatifs) réglables au comptant dans les deux cas</v>
      </c>
      <c r="B5" s="149">
        <f>SUM('Devis-Fact'!E58:E60)</f>
        <v>24.119999999999997</v>
      </c>
    </row>
  </sheetData>
  <phoneticPr fontId="50" type="noConversion"/>
  <pageMargins left="0.75000000000000011" right="0.57166666666666666" top="0.66666666666666663" bottom="0.70777777777777773" header="0.5" footer="0.5"/>
  <pageSetup paperSize="10" scale="73" orientation="landscape" horizontalDpi="4294967292" verticalDpi="4294967292"/>
  <ignoredErrors>
    <ignoredError sqref="B3:B4" emptyCellReference="1"/>
  </ignoredErrors>
  <drawing r:id="rId1"/>
  <extLst>
    <ext xmlns:mx="http://schemas.microsoft.com/office/mac/excel/2008/main" uri="http://schemas.microsoft.com/office/mac/excel/2008/main">
      <mx:PLV Mode="1"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D49"/>
  <sheetViews>
    <sheetView showGridLines="0" view="pageLayout" workbookViewId="0">
      <selection activeCell="D2" sqref="D2:AD2"/>
    </sheetView>
  </sheetViews>
  <sheetFormatPr baseColWidth="10" defaultColWidth="1" defaultRowHeight="18"/>
  <cols>
    <col min="1" max="1" width="28.75" customWidth="1"/>
    <col min="2" max="2" width="10.125" style="230" customWidth="1"/>
    <col min="3" max="3" width="1.125" style="230" customWidth="1"/>
    <col min="4" max="6" width="7.25" customWidth="1"/>
    <col min="7" max="7" width="1.25" customWidth="1"/>
    <col min="8" max="10" width="7.25" customWidth="1"/>
    <col min="11" max="11" width="1.25" customWidth="1"/>
    <col min="12" max="14" width="7.25" customWidth="1"/>
    <col min="15" max="15" width="1.25" customWidth="1"/>
    <col min="16" max="18" width="7.25" customWidth="1"/>
    <col min="19" max="19" width="1.25" customWidth="1"/>
    <col min="20" max="22" width="7.25" customWidth="1"/>
    <col min="23" max="23" width="1.25" customWidth="1"/>
    <col min="24" max="26" width="7.25" customWidth="1"/>
    <col min="27" max="27" width="1.25" customWidth="1"/>
    <col min="28" max="30" width="7.25" customWidth="1"/>
  </cols>
  <sheetData>
    <row r="1" spans="1:30" ht="27" customHeight="1" thickBot="1">
      <c r="A1" s="2968" t="s">
        <v>1242</v>
      </c>
      <c r="B1" s="2969"/>
      <c r="C1" s="2969"/>
      <c r="D1" s="2969"/>
      <c r="E1" s="2969"/>
      <c r="F1" s="2969"/>
      <c r="G1" s="2969"/>
      <c r="H1" s="2969"/>
      <c r="I1" s="2969"/>
      <c r="J1" s="2969"/>
      <c r="K1" s="2969"/>
      <c r="L1" s="2969"/>
      <c r="M1" s="2969"/>
      <c r="N1" s="2969"/>
      <c r="O1" s="2969"/>
      <c r="P1" s="2969"/>
      <c r="Q1" s="2969"/>
      <c r="R1" s="2969"/>
      <c r="S1" s="2969"/>
      <c r="T1" s="2969"/>
      <c r="U1" s="2969"/>
      <c r="V1" s="2969"/>
      <c r="W1" s="2969"/>
      <c r="X1" s="2969"/>
      <c r="Y1" s="2969"/>
      <c r="Z1" s="2969"/>
      <c r="AA1" s="2969"/>
      <c r="AB1" s="2969"/>
      <c r="AC1" s="631"/>
      <c r="AD1" s="631"/>
    </row>
    <row r="2" spans="1:30" ht="40" customHeight="1" thickBot="1">
      <c r="A2" s="322" t="s">
        <v>875</v>
      </c>
      <c r="B2" s="2970"/>
      <c r="C2" s="2971"/>
      <c r="D2" s="2977" t="s">
        <v>1243</v>
      </c>
      <c r="E2" s="2978"/>
      <c r="F2" s="2978"/>
      <c r="G2" s="2978"/>
      <c r="H2" s="2978"/>
      <c r="I2" s="2978"/>
      <c r="J2" s="2978"/>
      <c r="K2" s="2978"/>
      <c r="L2" s="2978"/>
      <c r="M2" s="2978"/>
      <c r="N2" s="2978"/>
      <c r="O2" s="2978"/>
      <c r="P2" s="2978"/>
      <c r="Q2" s="2978"/>
      <c r="R2" s="2978"/>
      <c r="S2" s="2978"/>
      <c r="T2" s="2978"/>
      <c r="U2" s="2978"/>
      <c r="V2" s="2978"/>
      <c r="W2" s="2978"/>
      <c r="X2" s="2978"/>
      <c r="Y2" s="2978"/>
      <c r="Z2" s="2978"/>
      <c r="AA2" s="2978"/>
      <c r="AB2" s="2978"/>
      <c r="AC2" s="2979"/>
      <c r="AD2" s="2980"/>
    </row>
    <row r="3" spans="1:30" ht="29" customHeight="1" thickBot="1">
      <c r="A3" s="411">
        <f>SUM(D18:AB18)+SUM(D24:AB24)+SUM(D40:AB40)+SUM(D46:AB46)</f>
        <v>0</v>
      </c>
      <c r="B3" s="129"/>
      <c r="C3" s="129"/>
      <c r="D3" s="5"/>
      <c r="E3" s="5"/>
      <c r="F3" s="5"/>
      <c r="G3" s="5"/>
      <c r="H3" s="5"/>
      <c r="I3" s="5"/>
      <c r="J3" s="5"/>
      <c r="K3" s="5"/>
      <c r="L3" s="5"/>
      <c r="M3" s="5"/>
      <c r="N3" s="5"/>
      <c r="O3" s="5"/>
      <c r="P3" s="5"/>
      <c r="Q3" s="5"/>
      <c r="R3" s="5"/>
      <c r="S3" s="5"/>
      <c r="T3" s="5"/>
      <c r="U3" s="5"/>
      <c r="V3" s="5"/>
      <c r="W3" s="5"/>
      <c r="X3" s="5"/>
      <c r="Y3" s="5"/>
      <c r="Z3" s="5"/>
      <c r="AA3" s="5"/>
      <c r="AB3" s="5"/>
      <c r="AC3" s="5"/>
      <c r="AD3" s="5"/>
    </row>
    <row r="4" spans="1:30" ht="30" customHeight="1" thickBot="1">
      <c r="A4" s="5"/>
      <c r="B4" s="129"/>
      <c r="C4" s="129"/>
      <c r="D4" s="2972" t="s">
        <v>500</v>
      </c>
      <c r="E4" s="2973"/>
      <c r="F4" s="2973"/>
      <c r="G4" s="2974"/>
      <c r="H4" s="2973"/>
      <c r="I4" s="2973"/>
      <c r="J4" s="2973"/>
      <c r="K4" s="2973"/>
      <c r="L4" s="2973"/>
      <c r="M4" s="2973"/>
      <c r="N4" s="2973"/>
      <c r="O4" s="2973"/>
      <c r="P4" s="2973"/>
      <c r="Q4" s="2973"/>
      <c r="R4" s="2973"/>
      <c r="S4" s="2973"/>
      <c r="T4" s="2973"/>
      <c r="U4" s="2973"/>
      <c r="V4" s="2973"/>
      <c r="W4" s="2973"/>
      <c r="X4" s="2973"/>
      <c r="Y4" s="2973"/>
      <c r="Z4" s="2973"/>
      <c r="AA4" s="2973"/>
      <c r="AB4" s="2973"/>
      <c r="AC4" s="2975"/>
      <c r="AD4" s="2976"/>
    </row>
    <row r="5" spans="1:30" ht="19" thickBot="1">
      <c r="A5" s="5"/>
      <c r="B5" s="309" t="s">
        <v>588</v>
      </c>
      <c r="C5" s="645"/>
      <c r="D5" s="2963">
        <v>7</v>
      </c>
      <c r="E5" s="2966"/>
      <c r="F5" s="2966"/>
      <c r="G5" s="788"/>
      <c r="H5" s="2966">
        <v>8</v>
      </c>
      <c r="I5" s="2966"/>
      <c r="J5" s="2967"/>
      <c r="K5" s="788"/>
      <c r="L5" s="2963">
        <v>9</v>
      </c>
      <c r="M5" s="2966"/>
      <c r="N5" s="2967"/>
      <c r="O5" s="788"/>
      <c r="P5" s="2963">
        <v>10</v>
      </c>
      <c r="Q5" s="2966"/>
      <c r="R5" s="2967"/>
      <c r="S5" s="788"/>
      <c r="T5" s="2963">
        <v>20</v>
      </c>
      <c r="U5" s="2966"/>
      <c r="V5" s="2967"/>
      <c r="W5" s="788"/>
      <c r="X5" s="2963">
        <v>30</v>
      </c>
      <c r="Y5" s="2966"/>
      <c r="Z5" s="2967"/>
      <c r="AA5" s="788"/>
      <c r="AB5" s="2963">
        <v>40</v>
      </c>
      <c r="AC5" s="2966"/>
      <c r="AD5" s="2967"/>
    </row>
    <row r="6" spans="1:30" hidden="1">
      <c r="A6" s="130" t="s">
        <v>192</v>
      </c>
      <c r="B6" s="313"/>
      <c r="C6" s="641"/>
      <c r="D6" s="314">
        <v>98.55</v>
      </c>
      <c r="E6" s="314"/>
      <c r="F6" s="781"/>
      <c r="G6" s="789"/>
      <c r="H6" s="785">
        <v>114.8</v>
      </c>
      <c r="I6" s="314"/>
      <c r="J6" s="314"/>
      <c r="K6" s="789"/>
      <c r="L6" s="314">
        <v>151.15</v>
      </c>
      <c r="M6" s="314"/>
      <c r="N6" s="314"/>
      <c r="O6" s="789"/>
      <c r="P6" s="314">
        <v>188.65</v>
      </c>
      <c r="Q6" s="314"/>
      <c r="R6" s="314"/>
      <c r="S6" s="789"/>
      <c r="T6" s="314">
        <f>P6*2</f>
        <v>377.3</v>
      </c>
      <c r="U6" s="314"/>
      <c r="V6" s="314"/>
      <c r="W6" s="789"/>
      <c r="X6" s="314">
        <f>P6*3</f>
        <v>565.95000000000005</v>
      </c>
      <c r="Y6" s="314"/>
      <c r="Z6" s="314"/>
      <c r="AA6" s="789"/>
      <c r="AB6" s="314">
        <f>P6*4</f>
        <v>754.6</v>
      </c>
      <c r="AC6" s="634"/>
      <c r="AD6" s="634"/>
    </row>
    <row r="7" spans="1:30" hidden="1">
      <c r="A7" s="130" t="s">
        <v>1081</v>
      </c>
      <c r="B7" s="315">
        <v>0.1</v>
      </c>
      <c r="C7" s="641"/>
      <c r="D7" s="316">
        <f>D6*(1+$B$7)</f>
        <v>108.405</v>
      </c>
      <c r="E7" s="316"/>
      <c r="F7" s="782"/>
      <c r="G7" s="790"/>
      <c r="H7" s="786">
        <f>H6*(1+$B$7)</f>
        <v>126.28</v>
      </c>
      <c r="I7" s="316"/>
      <c r="J7" s="316"/>
      <c r="K7" s="790"/>
      <c r="L7" s="316">
        <f>L6*(1+$B$7)</f>
        <v>166.26500000000001</v>
      </c>
      <c r="M7" s="316"/>
      <c r="N7" s="316"/>
      <c r="O7" s="790"/>
      <c r="P7" s="316">
        <f>P6*(1+$B$7)</f>
        <v>207.51500000000001</v>
      </c>
      <c r="Q7" s="316"/>
      <c r="R7" s="316"/>
      <c r="S7" s="790"/>
      <c r="T7" s="316">
        <f>T6*(1+$B$7)</f>
        <v>415.03000000000003</v>
      </c>
      <c r="U7" s="316"/>
      <c r="V7" s="316"/>
      <c r="W7" s="790"/>
      <c r="X7" s="316">
        <f>X6*(1+$B$7)</f>
        <v>622.54500000000007</v>
      </c>
      <c r="Y7" s="316"/>
      <c r="Z7" s="316"/>
      <c r="AA7" s="790"/>
      <c r="AB7" s="316">
        <f>AB6*(1+$B$7)</f>
        <v>830.06000000000006</v>
      </c>
      <c r="AC7" s="635"/>
      <c r="AD7" s="635"/>
    </row>
    <row r="8" spans="1:30" ht="19" hidden="1" thickBot="1">
      <c r="A8" s="130" t="s">
        <v>983</v>
      </c>
      <c r="B8" s="313">
        <v>0.1</v>
      </c>
      <c r="C8" s="641"/>
      <c r="D8" s="317">
        <f>D7+(1+D7*$B$8)</f>
        <v>120.24550000000001</v>
      </c>
      <c r="E8" s="317"/>
      <c r="F8" s="783"/>
      <c r="G8" s="790"/>
      <c r="H8" s="787">
        <f>H7+(1+H7*$B$8)</f>
        <v>139.90800000000002</v>
      </c>
      <c r="I8" s="317"/>
      <c r="J8" s="317"/>
      <c r="K8" s="790"/>
      <c r="L8" s="317">
        <f>L7+(1+L7*$B$8)</f>
        <v>183.89150000000001</v>
      </c>
      <c r="M8" s="317"/>
      <c r="N8" s="317"/>
      <c r="O8" s="790"/>
      <c r="P8" s="317">
        <f>P7+(1+P7*$B$8)</f>
        <v>229.26650000000001</v>
      </c>
      <c r="Q8" s="317"/>
      <c r="R8" s="317"/>
      <c r="S8" s="790"/>
      <c r="T8" s="317">
        <f>T7+(1+T7*$B$8)</f>
        <v>457.53300000000002</v>
      </c>
      <c r="U8" s="317"/>
      <c r="V8" s="317"/>
      <c r="W8" s="790"/>
      <c r="X8" s="317">
        <f>X7+(1+X7*$B$8)</f>
        <v>685.79950000000008</v>
      </c>
      <c r="Y8" s="317"/>
      <c r="Z8" s="317"/>
      <c r="AA8" s="790"/>
      <c r="AB8" s="317">
        <f>AB7+(1+AB7*$B$8)</f>
        <v>914.06600000000003</v>
      </c>
      <c r="AC8" s="635"/>
      <c r="AD8" s="635"/>
    </row>
    <row r="9" spans="1:30" hidden="1">
      <c r="A9" s="1360" t="s">
        <v>381</v>
      </c>
      <c r="B9" s="1361" t="s">
        <v>334</v>
      </c>
      <c r="C9" s="641"/>
      <c r="D9" s="1362">
        <f>D5</f>
        <v>7</v>
      </c>
      <c r="E9" s="1365"/>
      <c r="F9" s="1366"/>
      <c r="G9" s="791"/>
      <c r="H9" s="1363">
        <f>H5</f>
        <v>8</v>
      </c>
      <c r="I9" s="1365"/>
      <c r="J9" s="1366"/>
      <c r="K9" s="791"/>
      <c r="L9" s="1362">
        <f>L5</f>
        <v>9</v>
      </c>
      <c r="M9" s="1365"/>
      <c r="N9" s="1366"/>
      <c r="O9" s="791"/>
      <c r="P9" s="1362">
        <f>P5</f>
        <v>10</v>
      </c>
      <c r="Q9" s="1365"/>
      <c r="R9" s="1366"/>
      <c r="S9" s="791"/>
      <c r="T9" s="1362">
        <f>T5</f>
        <v>20</v>
      </c>
      <c r="U9" s="1365"/>
      <c r="V9" s="1366"/>
      <c r="W9" s="791"/>
      <c r="X9" s="1362">
        <f>X5</f>
        <v>30</v>
      </c>
      <c r="Y9" s="1365"/>
      <c r="Z9" s="1366"/>
      <c r="AA9" s="791"/>
      <c r="AB9" s="1362">
        <f>AB5</f>
        <v>40</v>
      </c>
      <c r="AC9" s="1365"/>
      <c r="AD9" s="1366"/>
    </row>
    <row r="10" spans="1:30" hidden="1">
      <c r="A10" s="1419" t="s">
        <v>176</v>
      </c>
      <c r="B10" s="1420"/>
      <c r="C10" s="1421"/>
      <c r="D10" s="1422">
        <f>D8</f>
        <v>120.24550000000001</v>
      </c>
      <c r="E10" s="1423"/>
      <c r="F10" s="1424"/>
      <c r="G10" s="1425"/>
      <c r="H10" s="1426">
        <f>H8</f>
        <v>139.90800000000002</v>
      </c>
      <c r="I10" s="1423"/>
      <c r="J10" s="1424"/>
      <c r="K10" s="1425"/>
      <c r="L10" s="1422">
        <f>L8</f>
        <v>183.89150000000001</v>
      </c>
      <c r="M10" s="1423"/>
      <c r="N10" s="1424"/>
      <c r="O10" s="1425"/>
      <c r="P10" s="1422">
        <f>P8</f>
        <v>229.26650000000001</v>
      </c>
      <c r="Q10" s="1423"/>
      <c r="R10" s="1424"/>
      <c r="S10" s="1425"/>
      <c r="T10" s="1422">
        <f>T8</f>
        <v>457.53300000000002</v>
      </c>
      <c r="U10" s="1423"/>
      <c r="V10" s="1424"/>
      <c r="W10" s="1425"/>
      <c r="X10" s="1422">
        <f>X8</f>
        <v>685.79950000000008</v>
      </c>
      <c r="Y10" s="1423"/>
      <c r="Z10" s="1424"/>
      <c r="AA10" s="1425"/>
      <c r="AB10" s="1422">
        <f>AB8</f>
        <v>914.06600000000003</v>
      </c>
      <c r="AC10" s="1423"/>
      <c r="AD10" s="1424"/>
    </row>
    <row r="11" spans="1:30" hidden="1">
      <c r="A11" s="1419" t="s">
        <v>187</v>
      </c>
      <c r="B11" s="1420"/>
      <c r="C11" s="1421"/>
      <c r="D11" s="1422">
        <f>D10*5</f>
        <v>601.22750000000008</v>
      </c>
      <c r="E11" s="1423"/>
      <c r="F11" s="1424"/>
      <c r="G11" s="1425"/>
      <c r="H11" s="1426">
        <f>H10*5</f>
        <v>699.54000000000008</v>
      </c>
      <c r="I11" s="1423"/>
      <c r="J11" s="1424"/>
      <c r="K11" s="1425"/>
      <c r="L11" s="1422">
        <f>L10*5</f>
        <v>919.45749999999998</v>
      </c>
      <c r="M11" s="1423"/>
      <c r="N11" s="1424"/>
      <c r="O11" s="1425"/>
      <c r="P11" s="1422">
        <f>P10*5</f>
        <v>1146.3325</v>
      </c>
      <c r="Q11" s="1423"/>
      <c r="R11" s="1424"/>
      <c r="S11" s="1425"/>
      <c r="T11" s="1422">
        <f>T10*5</f>
        <v>2287.665</v>
      </c>
      <c r="U11" s="1423"/>
      <c r="V11" s="1424"/>
      <c r="W11" s="1425"/>
      <c r="X11" s="1422">
        <f>X10*5</f>
        <v>3428.9975000000004</v>
      </c>
      <c r="Y11" s="1423"/>
      <c r="Z11" s="1424"/>
      <c r="AA11" s="1425"/>
      <c r="AB11" s="1422">
        <f>AB10*5</f>
        <v>4570.33</v>
      </c>
      <c r="AC11" s="1423"/>
      <c r="AD11" s="1424"/>
    </row>
    <row r="12" spans="1:30" ht="19" hidden="1" thickBot="1">
      <c r="A12" s="1427" t="s">
        <v>517</v>
      </c>
      <c r="B12" s="1428"/>
      <c r="C12" s="1421"/>
      <c r="D12" s="1429">
        <f>D11*0.9*5</f>
        <v>2705.5237500000003</v>
      </c>
      <c r="E12" s="1430"/>
      <c r="F12" s="1431"/>
      <c r="G12" s="1425"/>
      <c r="H12" s="1432">
        <f>H11*0.9*5</f>
        <v>3147.9300000000007</v>
      </c>
      <c r="I12" s="1430"/>
      <c r="J12" s="1431"/>
      <c r="K12" s="1425"/>
      <c r="L12" s="1429">
        <f>L11*0.9*5</f>
        <v>4137.5587500000001</v>
      </c>
      <c r="M12" s="1430"/>
      <c r="N12" s="1431"/>
      <c r="O12" s="1425"/>
      <c r="P12" s="1429">
        <f>P11*0.9*5</f>
        <v>5158.4962500000001</v>
      </c>
      <c r="Q12" s="1430"/>
      <c r="R12" s="1431"/>
      <c r="S12" s="1425"/>
      <c r="T12" s="1429">
        <f>T11*0.9*5</f>
        <v>10294.4925</v>
      </c>
      <c r="U12" s="1430"/>
      <c r="V12" s="1431"/>
      <c r="W12" s="1425"/>
      <c r="X12" s="1429">
        <f>X11*0.9*5</f>
        <v>15430.488750000002</v>
      </c>
      <c r="Y12" s="1430"/>
      <c r="Z12" s="1431"/>
      <c r="AA12" s="1425"/>
      <c r="AB12" s="1429">
        <f>AB11*0.9*5</f>
        <v>20566.485000000001</v>
      </c>
      <c r="AC12" s="1430"/>
      <c r="AD12" s="1431"/>
    </row>
    <row r="13" spans="1:30" ht="19" thickBot="1">
      <c r="A13" s="5"/>
      <c r="B13" s="313"/>
      <c r="C13" s="641"/>
      <c r="D13" s="317"/>
      <c r="E13" s="317"/>
      <c r="F13" s="783"/>
      <c r="G13" s="790"/>
      <c r="H13" s="787"/>
      <c r="I13" s="317"/>
      <c r="J13" s="317"/>
      <c r="K13" s="790"/>
      <c r="L13" s="317"/>
      <c r="M13" s="317"/>
      <c r="N13" s="317"/>
      <c r="O13" s="790"/>
      <c r="P13" s="317"/>
      <c r="Q13" s="317"/>
      <c r="R13" s="317"/>
      <c r="S13" s="790"/>
      <c r="T13" s="317"/>
      <c r="U13" s="317"/>
      <c r="V13" s="317"/>
      <c r="W13" s="790"/>
      <c r="X13" s="317"/>
      <c r="Y13" s="317"/>
      <c r="Z13" s="317"/>
      <c r="AA13" s="790"/>
      <c r="AB13" s="317"/>
      <c r="AC13" s="635"/>
      <c r="AD13" s="635"/>
    </row>
    <row r="14" spans="1:30">
      <c r="A14" s="616" t="s">
        <v>435</v>
      </c>
      <c r="B14" s="617" t="str">
        <f>B9</f>
        <v>Code Tarif</v>
      </c>
      <c r="C14" s="642"/>
      <c r="D14" s="617">
        <f>D9</f>
        <v>7</v>
      </c>
      <c r="E14" s="617" t="s">
        <v>1204</v>
      </c>
      <c r="F14" s="784" t="s">
        <v>917</v>
      </c>
      <c r="G14" s="792"/>
      <c r="H14" s="780">
        <f>H9</f>
        <v>8</v>
      </c>
      <c r="I14" s="617" t="s">
        <v>1204</v>
      </c>
      <c r="J14" s="617" t="s">
        <v>917</v>
      </c>
      <c r="K14" s="792"/>
      <c r="L14" s="617">
        <f>L9</f>
        <v>9</v>
      </c>
      <c r="M14" s="633" t="s">
        <v>1208</v>
      </c>
      <c r="N14" s="633" t="s">
        <v>935</v>
      </c>
      <c r="O14" s="792"/>
      <c r="P14" s="617">
        <f>P9</f>
        <v>10</v>
      </c>
      <c r="Q14" s="633" t="s">
        <v>1208</v>
      </c>
      <c r="R14" s="633" t="s">
        <v>935</v>
      </c>
      <c r="S14" s="792"/>
      <c r="T14" s="617">
        <f>T9</f>
        <v>20</v>
      </c>
      <c r="U14" s="633" t="s">
        <v>1208</v>
      </c>
      <c r="V14" s="633" t="s">
        <v>935</v>
      </c>
      <c r="W14" s="792"/>
      <c r="X14" s="617">
        <f>X9</f>
        <v>30</v>
      </c>
      <c r="Y14" s="633" t="s">
        <v>1208</v>
      </c>
      <c r="Z14" s="633" t="s">
        <v>935</v>
      </c>
      <c r="AA14" s="792"/>
      <c r="AB14" s="617">
        <f>AB9</f>
        <v>40</v>
      </c>
      <c r="AC14" s="633" t="s">
        <v>1208</v>
      </c>
      <c r="AD14" s="633" t="s">
        <v>935</v>
      </c>
    </row>
    <row r="15" spans="1:30" ht="15" customHeight="1">
      <c r="A15" s="1419" t="s">
        <v>176</v>
      </c>
      <c r="B15" s="1420">
        <v>0.45</v>
      </c>
      <c r="C15" s="1433"/>
      <c r="D15" s="1750">
        <f>D10*(1+$B$15)</f>
        <v>174.355975</v>
      </c>
      <c r="E15" s="1751"/>
      <c r="F15" s="1752">
        <f>D15*E15</f>
        <v>0</v>
      </c>
      <c r="G15" s="1434"/>
      <c r="H15" s="1756">
        <f>H10*(1+$B$15)</f>
        <v>202.86660000000001</v>
      </c>
      <c r="I15" s="1751"/>
      <c r="J15" s="1750">
        <f>H15*I15</f>
        <v>0</v>
      </c>
      <c r="K15" s="1434"/>
      <c r="L15" s="1750">
        <f>L10*(1+$B$15)</f>
        <v>266.642675</v>
      </c>
      <c r="M15" s="1751"/>
      <c r="N15" s="1750">
        <f>L15*M15</f>
        <v>0</v>
      </c>
      <c r="O15" s="1434"/>
      <c r="P15" s="1750">
        <f>P10*(1+$B$15)</f>
        <v>332.43642499999999</v>
      </c>
      <c r="Q15" s="1751"/>
      <c r="R15" s="1750">
        <f>P15*Q15</f>
        <v>0</v>
      </c>
      <c r="S15" s="1434"/>
      <c r="T15" s="1750">
        <f>T10*(1+$B$15)</f>
        <v>663.42285000000004</v>
      </c>
      <c r="U15" s="1751"/>
      <c r="V15" s="1750">
        <f>T15*U15</f>
        <v>0</v>
      </c>
      <c r="W15" s="1434"/>
      <c r="X15" s="1750">
        <f>X10*(1+$B$15)</f>
        <v>994.40927500000009</v>
      </c>
      <c r="Y15" s="1751"/>
      <c r="Z15" s="1750">
        <f>X15*Y15</f>
        <v>0</v>
      </c>
      <c r="AA15" s="1434"/>
      <c r="AB15" s="1750">
        <f>AB10*(1+$B$15)</f>
        <v>1325.3957</v>
      </c>
      <c r="AC15" s="1751"/>
      <c r="AD15" s="1750">
        <f>AB15*AC15</f>
        <v>0</v>
      </c>
    </row>
    <row r="16" spans="1:30" ht="15" customHeight="1">
      <c r="A16" s="1419" t="s">
        <v>187</v>
      </c>
      <c r="B16" s="1420"/>
      <c r="C16" s="1433"/>
      <c r="D16" s="1750">
        <f>D11*(1+$B$15)</f>
        <v>871.77987500000006</v>
      </c>
      <c r="E16" s="1751"/>
      <c r="F16" s="1752">
        <f>D16*E16</f>
        <v>0</v>
      </c>
      <c r="G16" s="1434"/>
      <c r="H16" s="1756">
        <f>H11*(1+$B$15)</f>
        <v>1014.3330000000001</v>
      </c>
      <c r="I16" s="1751"/>
      <c r="J16" s="1750">
        <f>H16*I16</f>
        <v>0</v>
      </c>
      <c r="K16" s="1434"/>
      <c r="L16" s="1750">
        <f>L11*(1+$B$15)</f>
        <v>1333.213375</v>
      </c>
      <c r="M16" s="1751"/>
      <c r="N16" s="1750">
        <f>L16*M16</f>
        <v>0</v>
      </c>
      <c r="O16" s="1434"/>
      <c r="P16" s="1750">
        <f>P11*(1+$B$15)</f>
        <v>1662.1821249999998</v>
      </c>
      <c r="Q16" s="1751"/>
      <c r="R16" s="1750">
        <f>P16*Q16</f>
        <v>0</v>
      </c>
      <c r="S16" s="1434"/>
      <c r="T16" s="1750">
        <f>T11*(1+$B$15)</f>
        <v>3317.1142499999996</v>
      </c>
      <c r="U16" s="1751"/>
      <c r="V16" s="1750">
        <f>T16*U16</f>
        <v>0</v>
      </c>
      <c r="W16" s="1434"/>
      <c r="X16" s="1750">
        <f>X11*(1+$B$15)</f>
        <v>4972.0463750000008</v>
      </c>
      <c r="Y16" s="1751"/>
      <c r="Z16" s="1750">
        <f>X16*Y16</f>
        <v>0</v>
      </c>
      <c r="AA16" s="1434"/>
      <c r="AB16" s="1750">
        <f>AB11*(1+$B$15)</f>
        <v>6626.9784999999993</v>
      </c>
      <c r="AC16" s="1751"/>
      <c r="AD16" s="1750">
        <f>AB16*AC16</f>
        <v>0</v>
      </c>
    </row>
    <row r="17" spans="1:30" ht="15" customHeight="1" thickBot="1">
      <c r="A17" s="1427" t="s">
        <v>517</v>
      </c>
      <c r="B17" s="1428"/>
      <c r="C17" s="1433"/>
      <c r="D17" s="1753">
        <f>D12*(1+$B$15)</f>
        <v>3923.0094375000003</v>
      </c>
      <c r="E17" s="1754"/>
      <c r="F17" s="1755">
        <f>D17*E17</f>
        <v>0</v>
      </c>
      <c r="G17" s="1434"/>
      <c r="H17" s="1757">
        <f>H12*(1+$B$15)</f>
        <v>4564.4985000000006</v>
      </c>
      <c r="I17" s="1754"/>
      <c r="J17" s="1758">
        <f>H17*I17</f>
        <v>0</v>
      </c>
      <c r="K17" s="1434"/>
      <c r="L17" s="1753">
        <f>L12*(1+$B$15)</f>
        <v>5999.4601874999998</v>
      </c>
      <c r="M17" s="1754"/>
      <c r="N17" s="1758">
        <f>L17*M17</f>
        <v>0</v>
      </c>
      <c r="O17" s="1434"/>
      <c r="P17" s="1753">
        <f>P12*(1+$B$15)</f>
        <v>7479.8195624999998</v>
      </c>
      <c r="Q17" s="1754"/>
      <c r="R17" s="1758">
        <f>P17*Q17</f>
        <v>0</v>
      </c>
      <c r="S17" s="1434"/>
      <c r="T17" s="1753">
        <f>T12*(1+$B$15)</f>
        <v>14927.014125</v>
      </c>
      <c r="U17" s="1754"/>
      <c r="V17" s="1758">
        <f>T17*U17</f>
        <v>0</v>
      </c>
      <c r="W17" s="1434"/>
      <c r="X17" s="1753">
        <f>X12*(1+$B$15)</f>
        <v>22374.208687500002</v>
      </c>
      <c r="Y17" s="1754"/>
      <c r="Z17" s="1758">
        <f>X17*Y17</f>
        <v>0</v>
      </c>
      <c r="AA17" s="1434"/>
      <c r="AB17" s="1753">
        <f>AB12*(1+$B$15)</f>
        <v>29821.403249999999</v>
      </c>
      <c r="AC17" s="1759"/>
      <c r="AD17" s="1758">
        <f>AB17*AC17</f>
        <v>0</v>
      </c>
    </row>
    <row r="18" spans="1:30" ht="21" customHeight="1" thickBot="1">
      <c r="A18" s="5"/>
      <c r="B18" s="321"/>
      <c r="C18" s="643"/>
      <c r="D18" s="635"/>
      <c r="E18" s="635"/>
      <c r="F18" s="639">
        <f>SUM(F15:F17)</f>
        <v>0</v>
      </c>
      <c r="G18" s="793"/>
      <c r="H18" s="639"/>
      <c r="I18" s="639"/>
      <c r="J18" s="639">
        <f>SUM(J15:J17)</f>
        <v>0</v>
      </c>
      <c r="K18" s="793"/>
      <c r="L18" s="639"/>
      <c r="M18" s="639"/>
      <c r="N18" s="639">
        <f>SUM(N15:N17)</f>
        <v>0</v>
      </c>
      <c r="O18" s="793"/>
      <c r="P18" s="639"/>
      <c r="Q18" s="639"/>
      <c r="R18" s="639">
        <f>SUM(R15:R17)</f>
        <v>0</v>
      </c>
      <c r="S18" s="793"/>
      <c r="T18" s="639"/>
      <c r="U18" s="795"/>
      <c r="V18" s="639">
        <f>SUM(V15:V17)</f>
        <v>0</v>
      </c>
      <c r="W18" s="793"/>
      <c r="X18" s="639"/>
      <c r="Y18" s="639"/>
      <c r="Z18" s="639">
        <f>SUM(Z15:Z17)</f>
        <v>0</v>
      </c>
      <c r="AA18" s="793"/>
      <c r="AB18" s="639"/>
      <c r="AC18" s="639"/>
      <c r="AD18" s="639">
        <f>SUM(AD15:AD17)</f>
        <v>0</v>
      </c>
    </row>
    <row r="19" spans="1:30" s="101" customFormat="1" ht="21" customHeight="1" thickBot="1">
      <c r="A19" s="22"/>
      <c r="B19" s="321"/>
      <c r="C19" s="643"/>
      <c r="D19" s="2963">
        <v>7</v>
      </c>
      <c r="E19" s="2966"/>
      <c r="F19" s="2966"/>
      <c r="G19" s="794"/>
      <c r="H19" s="2966">
        <v>8</v>
      </c>
      <c r="I19" s="2966"/>
      <c r="J19" s="2967"/>
      <c r="K19" s="794"/>
      <c r="L19" s="2963">
        <v>9</v>
      </c>
      <c r="M19" s="2966"/>
      <c r="N19" s="2967"/>
      <c r="O19" s="794"/>
      <c r="P19" s="2963">
        <v>10</v>
      </c>
      <c r="Q19" s="2966"/>
      <c r="R19" s="2967"/>
      <c r="S19" s="794"/>
      <c r="T19" s="2963">
        <v>20</v>
      </c>
      <c r="U19" s="2966"/>
      <c r="V19" s="2967"/>
      <c r="W19" s="794"/>
      <c r="X19" s="2963">
        <v>30</v>
      </c>
      <c r="Y19" s="2966"/>
      <c r="Z19" s="2967"/>
      <c r="AA19" s="794"/>
      <c r="AB19" s="2963">
        <v>40</v>
      </c>
      <c r="AC19" s="2966"/>
      <c r="AD19" s="2967"/>
    </row>
    <row r="20" spans="1:30" ht="15" customHeight="1">
      <c r="A20" s="616" t="s">
        <v>110</v>
      </c>
      <c r="B20" s="617" t="str">
        <f>B14</f>
        <v>Code Tarif</v>
      </c>
      <c r="C20" s="642"/>
      <c r="D20" s="617">
        <f>D14</f>
        <v>7</v>
      </c>
      <c r="E20" s="617" t="s">
        <v>1204</v>
      </c>
      <c r="F20" s="784" t="s">
        <v>917</v>
      </c>
      <c r="G20" s="792"/>
      <c r="H20" s="780">
        <f>H14</f>
        <v>8</v>
      </c>
      <c r="I20" s="617" t="s">
        <v>1204</v>
      </c>
      <c r="J20" s="617" t="s">
        <v>917</v>
      </c>
      <c r="K20" s="792"/>
      <c r="L20" s="617">
        <f>L14</f>
        <v>9</v>
      </c>
      <c r="M20" s="633" t="s">
        <v>1208</v>
      </c>
      <c r="N20" s="633" t="s">
        <v>935</v>
      </c>
      <c r="O20" s="792"/>
      <c r="P20" s="617">
        <f>P14</f>
        <v>10</v>
      </c>
      <c r="Q20" s="633" t="s">
        <v>1208</v>
      </c>
      <c r="R20" s="633" t="s">
        <v>935</v>
      </c>
      <c r="S20" s="792"/>
      <c r="T20" s="617">
        <f>T14</f>
        <v>20</v>
      </c>
      <c r="U20" s="633" t="s">
        <v>1208</v>
      </c>
      <c r="V20" s="633" t="s">
        <v>935</v>
      </c>
      <c r="W20" s="792"/>
      <c r="X20" s="617">
        <f>X14</f>
        <v>30</v>
      </c>
      <c r="Y20" s="633" t="s">
        <v>1208</v>
      </c>
      <c r="Z20" s="633" t="s">
        <v>935</v>
      </c>
      <c r="AA20" s="792"/>
      <c r="AB20" s="617">
        <f>AB14</f>
        <v>40</v>
      </c>
      <c r="AC20" s="636" t="s">
        <v>1208</v>
      </c>
      <c r="AD20" s="636" t="s">
        <v>935</v>
      </c>
    </row>
    <row r="21" spans="1:30" ht="15" customHeight="1">
      <c r="A21" s="1419" t="s">
        <v>208</v>
      </c>
      <c r="B21" s="1420">
        <v>1</v>
      </c>
      <c r="C21" s="1433"/>
      <c r="D21" s="1750">
        <f>D15*(1+$B$21)</f>
        <v>348.71195</v>
      </c>
      <c r="E21" s="1751"/>
      <c r="F21" s="1750">
        <f>D21*E21</f>
        <v>0</v>
      </c>
      <c r="G21" s="1435"/>
      <c r="H21" s="1756">
        <f>H15*(1+$B$21)</f>
        <v>405.73320000000001</v>
      </c>
      <c r="I21" s="1751"/>
      <c r="J21" s="1750">
        <f>H21*I21</f>
        <v>0</v>
      </c>
      <c r="K21" s="1435"/>
      <c r="L21" s="1750">
        <f>L15*(1+$B$21)</f>
        <v>533.28534999999999</v>
      </c>
      <c r="M21" s="1751"/>
      <c r="N21" s="1750">
        <f>L21*M21</f>
        <v>0</v>
      </c>
      <c r="O21" s="1435"/>
      <c r="P21" s="1750">
        <f>P15*(1+$B$21)</f>
        <v>664.87284999999997</v>
      </c>
      <c r="Q21" s="1751"/>
      <c r="R21" s="1750">
        <f>P21*Q21</f>
        <v>0</v>
      </c>
      <c r="S21" s="1435"/>
      <c r="T21" s="1750">
        <f>T15*(1+$B$21)</f>
        <v>1326.8457000000001</v>
      </c>
      <c r="U21" s="1751"/>
      <c r="V21" s="1750">
        <f>T21*U21</f>
        <v>0</v>
      </c>
      <c r="W21" s="1435"/>
      <c r="X21" s="1750">
        <f>X15*(1+$B$21)</f>
        <v>1988.8185500000002</v>
      </c>
      <c r="Y21" s="1751"/>
      <c r="Z21" s="1750">
        <f>X21*Y21</f>
        <v>0</v>
      </c>
      <c r="AA21" s="1435"/>
      <c r="AB21" s="1750">
        <f>AB15*(1+$B$21)</f>
        <v>2650.7914000000001</v>
      </c>
      <c r="AC21" s="1751"/>
      <c r="AD21" s="1750">
        <f>AB21*AC21</f>
        <v>0</v>
      </c>
    </row>
    <row r="22" spans="1:30" ht="15" customHeight="1">
      <c r="A22" s="1419" t="s">
        <v>187</v>
      </c>
      <c r="B22" s="1420"/>
      <c r="C22" s="1433"/>
      <c r="D22" s="1750">
        <f>D16*(1+$B$21)</f>
        <v>1743.5597500000001</v>
      </c>
      <c r="E22" s="1751"/>
      <c r="F22" s="1750">
        <f>D22*E22</f>
        <v>0</v>
      </c>
      <c r="G22" s="1435"/>
      <c r="H22" s="1756">
        <f>H16*(1+$B$21)</f>
        <v>2028.6660000000002</v>
      </c>
      <c r="I22" s="1751"/>
      <c r="J22" s="1750">
        <f>H22*I22</f>
        <v>0</v>
      </c>
      <c r="K22" s="1435"/>
      <c r="L22" s="1750">
        <f>L16*(1+$B$21)</f>
        <v>2666.4267500000001</v>
      </c>
      <c r="M22" s="1751"/>
      <c r="N22" s="1750">
        <f>L22*M22</f>
        <v>0</v>
      </c>
      <c r="O22" s="1435"/>
      <c r="P22" s="1750">
        <f>P16*(1+$B$21)</f>
        <v>3324.3642499999996</v>
      </c>
      <c r="Q22" s="1751"/>
      <c r="R22" s="1750">
        <f>P22*Q22</f>
        <v>0</v>
      </c>
      <c r="S22" s="1435"/>
      <c r="T22" s="1750">
        <f>T16*(1+$B$21)</f>
        <v>6634.2284999999993</v>
      </c>
      <c r="U22" s="1751"/>
      <c r="V22" s="1750">
        <f>T22*U22</f>
        <v>0</v>
      </c>
      <c r="W22" s="1435"/>
      <c r="X22" s="1750">
        <f>X16*(1+$B$21)</f>
        <v>9944.0927500000016</v>
      </c>
      <c r="Y22" s="1751"/>
      <c r="Z22" s="1750">
        <f>X22*Y22</f>
        <v>0</v>
      </c>
      <c r="AA22" s="1435"/>
      <c r="AB22" s="1750">
        <f>AB16*(1+$B$21)</f>
        <v>13253.956999999999</v>
      </c>
      <c r="AC22" s="1751"/>
      <c r="AD22" s="1750">
        <f>AB22*AC22</f>
        <v>0</v>
      </c>
    </row>
    <row r="23" spans="1:30" ht="15" customHeight="1" thickBot="1">
      <c r="A23" s="1427" t="s">
        <v>517</v>
      </c>
      <c r="B23" s="1428"/>
      <c r="C23" s="1433"/>
      <c r="D23" s="1760">
        <f>D17*(1+$B$21)</f>
        <v>7846.0188750000007</v>
      </c>
      <c r="E23" s="1761"/>
      <c r="F23" s="1758">
        <f>D23*E23</f>
        <v>0</v>
      </c>
      <c r="G23" s="1435"/>
      <c r="H23" s="1762">
        <f>H17*(1+$B$21)</f>
        <v>9128.9970000000012</v>
      </c>
      <c r="I23" s="1761"/>
      <c r="J23" s="1758">
        <f>H23*I23</f>
        <v>0</v>
      </c>
      <c r="K23" s="1435"/>
      <c r="L23" s="1760">
        <f>L17*(1+$B$21)</f>
        <v>11998.920375</v>
      </c>
      <c r="M23" s="1761"/>
      <c r="N23" s="1758">
        <f>L23*M23</f>
        <v>0</v>
      </c>
      <c r="O23" s="1435"/>
      <c r="P23" s="1760">
        <f>P17*(1+$B$21)</f>
        <v>14959.639125</v>
      </c>
      <c r="Q23" s="1761"/>
      <c r="R23" s="1758">
        <f>P23*Q23</f>
        <v>0</v>
      </c>
      <c r="S23" s="1435"/>
      <c r="T23" s="1760">
        <f>T17*(1+$B$21)</f>
        <v>29854.028249999999</v>
      </c>
      <c r="U23" s="1761"/>
      <c r="V23" s="1758">
        <f>T23*U23</f>
        <v>0</v>
      </c>
      <c r="W23" s="1435"/>
      <c r="X23" s="1760">
        <f>X17*(1+$B$21)</f>
        <v>44748.417375000005</v>
      </c>
      <c r="Y23" s="1761"/>
      <c r="Z23" s="1758">
        <f>X23*Y23</f>
        <v>0</v>
      </c>
      <c r="AA23" s="1435"/>
      <c r="AB23" s="1760">
        <f>AB17*(1+$B$21)</f>
        <v>59642.806499999999</v>
      </c>
      <c r="AC23" s="1761"/>
      <c r="AD23" s="1758">
        <f>AB23*AC23</f>
        <v>0</v>
      </c>
    </row>
    <row r="24" spans="1:30" ht="20" customHeight="1">
      <c r="A24" s="320"/>
      <c r="B24" s="321"/>
      <c r="C24" s="644"/>
      <c r="D24" s="637"/>
      <c r="E24" s="637"/>
      <c r="F24" s="640">
        <f>SUM(F21:F23)</f>
        <v>0</v>
      </c>
      <c r="G24" s="639"/>
      <c r="H24" s="640"/>
      <c r="I24" s="640"/>
      <c r="J24" s="640">
        <f>SUM(J21:J23)</f>
        <v>0</v>
      </c>
      <c r="K24" s="640"/>
      <c r="L24" s="640"/>
      <c r="M24" s="640"/>
      <c r="N24" s="640">
        <f>SUM(N21:N23)</f>
        <v>0</v>
      </c>
      <c r="O24" s="640"/>
      <c r="P24" s="640"/>
      <c r="Q24" s="640"/>
      <c r="R24" s="640">
        <f>SUM(R21:R23)</f>
        <v>0</v>
      </c>
      <c r="S24" s="640"/>
      <c r="T24" s="640"/>
      <c r="U24" s="640"/>
      <c r="V24" s="640">
        <f>SUM(V21:V23)</f>
        <v>0</v>
      </c>
      <c r="W24" s="640"/>
      <c r="X24" s="640"/>
      <c r="Y24" s="640"/>
      <c r="Z24" s="640">
        <f>SUM(Z21:Z23)</f>
        <v>0</v>
      </c>
      <c r="AA24" s="640"/>
      <c r="AB24" s="640"/>
      <c r="AC24" s="640"/>
      <c r="AD24" s="640">
        <f>SUM(AD21:AD23)</f>
        <v>0</v>
      </c>
    </row>
    <row r="25" spans="1:30" ht="19" customHeight="1" thickBot="1">
      <c r="A25" s="5"/>
      <c r="B25" s="318"/>
      <c r="C25" s="644"/>
      <c r="D25" s="5"/>
      <c r="E25" s="5"/>
      <c r="F25" s="5"/>
      <c r="G25" s="5"/>
      <c r="H25" s="5"/>
      <c r="I25" s="5"/>
      <c r="J25" s="5"/>
      <c r="K25" s="5"/>
      <c r="L25" s="5"/>
      <c r="M25" s="5"/>
      <c r="N25" s="5"/>
      <c r="O25" s="5"/>
      <c r="P25" s="5"/>
      <c r="Q25" s="5"/>
      <c r="R25" s="5"/>
      <c r="S25" s="5"/>
      <c r="T25" s="5"/>
      <c r="U25" s="5"/>
      <c r="V25" s="5"/>
      <c r="W25" s="5"/>
      <c r="X25" s="5"/>
      <c r="Y25" s="5"/>
      <c r="Z25" s="5"/>
      <c r="AA25" s="5"/>
      <c r="AB25" s="5"/>
      <c r="AC25" s="5"/>
      <c r="AD25" s="5"/>
    </row>
    <row r="26" spans="1:30" ht="26" customHeight="1" thickBot="1">
      <c r="A26" s="5"/>
      <c r="B26" s="318"/>
      <c r="C26" s="644"/>
      <c r="D26" s="2972" t="s">
        <v>326</v>
      </c>
      <c r="E26" s="2973"/>
      <c r="F26" s="2973"/>
      <c r="G26" s="2973"/>
      <c r="H26" s="2973"/>
      <c r="I26" s="2973"/>
      <c r="J26" s="2973"/>
      <c r="K26" s="2973"/>
      <c r="L26" s="2973"/>
      <c r="M26" s="2973"/>
      <c r="N26" s="2973"/>
      <c r="O26" s="2973"/>
      <c r="P26" s="2973"/>
      <c r="Q26" s="2973"/>
      <c r="R26" s="2973"/>
      <c r="S26" s="2973"/>
      <c r="T26" s="2973"/>
      <c r="U26" s="2973"/>
      <c r="V26" s="2973"/>
      <c r="W26" s="2973"/>
      <c r="X26" s="2973"/>
      <c r="Y26" s="2973"/>
      <c r="Z26" s="2973"/>
      <c r="AA26" s="2973"/>
      <c r="AB26" s="2973"/>
      <c r="AC26" s="2973"/>
      <c r="AD26" s="2984"/>
    </row>
    <row r="27" spans="1:30" ht="19" thickBot="1">
      <c r="A27" s="5"/>
      <c r="B27" s="309" t="s">
        <v>289</v>
      </c>
      <c r="C27" s="645"/>
      <c r="D27" s="2963" t="s">
        <v>745</v>
      </c>
      <c r="E27" s="2966"/>
      <c r="F27" s="2967"/>
      <c r="G27" s="788"/>
      <c r="H27" s="2963" t="s">
        <v>628</v>
      </c>
      <c r="I27" s="2966"/>
      <c r="J27" s="2967"/>
      <c r="K27" s="788"/>
      <c r="L27" s="2963" t="s">
        <v>1018</v>
      </c>
      <c r="M27" s="2966"/>
      <c r="N27" s="2967"/>
      <c r="O27" s="788"/>
      <c r="P27" s="2963" t="s">
        <v>439</v>
      </c>
      <c r="Q27" s="2966"/>
      <c r="R27" s="2967"/>
      <c r="S27" s="788"/>
      <c r="T27" s="2963" t="s">
        <v>479</v>
      </c>
      <c r="U27" s="2966"/>
      <c r="V27" s="2965"/>
      <c r="W27" s="788"/>
      <c r="X27" s="2963" t="s">
        <v>817</v>
      </c>
      <c r="Y27" s="2966"/>
      <c r="Z27" s="2967"/>
      <c r="AA27" s="788"/>
      <c r="AB27" s="2963" t="s">
        <v>668</v>
      </c>
      <c r="AC27" s="2964"/>
      <c r="AD27" s="2965"/>
    </row>
    <row r="28" spans="1:30" hidden="1">
      <c r="A28" s="130" t="s">
        <v>20</v>
      </c>
      <c r="B28" s="319"/>
      <c r="C28" s="641"/>
      <c r="D28" s="314">
        <v>35.15</v>
      </c>
      <c r="E28" s="314"/>
      <c r="F28" s="314"/>
      <c r="G28" s="789"/>
      <c r="H28" s="314">
        <v>41</v>
      </c>
      <c r="I28" s="314"/>
      <c r="J28" s="314"/>
      <c r="K28" s="789"/>
      <c r="L28" s="314">
        <v>48</v>
      </c>
      <c r="M28" s="314"/>
      <c r="N28" s="314"/>
      <c r="O28" s="789"/>
      <c r="P28" s="314">
        <v>55.05</v>
      </c>
      <c r="Q28" s="314"/>
      <c r="R28" s="314"/>
      <c r="S28" s="789"/>
      <c r="T28" s="314">
        <v>63.25</v>
      </c>
      <c r="U28" s="314"/>
      <c r="V28" s="314"/>
      <c r="W28" s="789"/>
      <c r="X28" s="314">
        <v>71.349999999999994</v>
      </c>
      <c r="Y28" s="314"/>
      <c r="Z28" s="314"/>
      <c r="AA28" s="789"/>
      <c r="AB28" s="314">
        <v>89.15</v>
      </c>
      <c r="AC28" s="634"/>
      <c r="AD28" s="634"/>
    </row>
    <row r="29" spans="1:30" hidden="1">
      <c r="A29" s="130" t="s">
        <v>238</v>
      </c>
      <c r="B29" s="315">
        <v>0.1</v>
      </c>
      <c r="C29" s="641"/>
      <c r="D29" s="316">
        <f>D28*(1+$B$7)</f>
        <v>38.664999999999999</v>
      </c>
      <c r="E29" s="316"/>
      <c r="F29" s="316"/>
      <c r="G29" s="790"/>
      <c r="H29" s="316">
        <f>H28*(1+$B$7)</f>
        <v>45.1</v>
      </c>
      <c r="I29" s="316"/>
      <c r="J29" s="316"/>
      <c r="K29" s="790"/>
      <c r="L29" s="316">
        <f>L28*(1+$B$7)</f>
        <v>52.800000000000004</v>
      </c>
      <c r="M29" s="316"/>
      <c r="N29" s="316"/>
      <c r="O29" s="790"/>
      <c r="P29" s="316">
        <f>P28*(1+$B$7)</f>
        <v>60.555</v>
      </c>
      <c r="Q29" s="316"/>
      <c r="R29" s="316"/>
      <c r="S29" s="790"/>
      <c r="T29" s="316">
        <f>T28*(1+$B$7)</f>
        <v>69.575000000000003</v>
      </c>
      <c r="U29" s="316"/>
      <c r="V29" s="316"/>
      <c r="W29" s="790"/>
      <c r="X29" s="316">
        <f>X28*(1+$B$7)</f>
        <v>78.484999999999999</v>
      </c>
      <c r="Y29" s="316"/>
      <c r="Z29" s="316"/>
      <c r="AA29" s="790"/>
      <c r="AB29" s="316">
        <f>AB28*(1+$B$7)</f>
        <v>98.065000000000012</v>
      </c>
      <c r="AC29" s="635"/>
      <c r="AD29" s="635"/>
    </row>
    <row r="30" spans="1:30" ht="19" hidden="1" thickBot="1">
      <c r="A30" s="130" t="s">
        <v>1012</v>
      </c>
      <c r="B30" s="313">
        <v>0.1</v>
      </c>
      <c r="C30" s="641"/>
      <c r="D30" s="317">
        <f>D29+(1+D29*$B$8)</f>
        <v>43.531500000000001</v>
      </c>
      <c r="E30" s="317"/>
      <c r="F30" s="317"/>
      <c r="G30" s="790"/>
      <c r="H30" s="317">
        <f>H29+(1+H29*$B$8)</f>
        <v>50.61</v>
      </c>
      <c r="I30" s="317"/>
      <c r="J30" s="317"/>
      <c r="K30" s="790"/>
      <c r="L30" s="317">
        <f>L29+(1+L29*$B$8)</f>
        <v>59.080000000000005</v>
      </c>
      <c r="M30" s="317"/>
      <c r="N30" s="317"/>
      <c r="O30" s="790"/>
      <c r="P30" s="317">
        <f>P29+(1+P29*$B$8)</f>
        <v>67.610500000000002</v>
      </c>
      <c r="Q30" s="317"/>
      <c r="R30" s="317"/>
      <c r="S30" s="790"/>
      <c r="T30" s="317">
        <f>T29+(1+T29*$B$8)</f>
        <v>77.532499999999999</v>
      </c>
      <c r="U30" s="317"/>
      <c r="V30" s="317"/>
      <c r="W30" s="790"/>
      <c r="X30" s="317">
        <f>X29+(1+X29*$B$8)</f>
        <v>87.333500000000001</v>
      </c>
      <c r="Y30" s="317"/>
      <c r="Z30" s="317"/>
      <c r="AA30" s="790"/>
      <c r="AB30" s="317">
        <f>AB29+(1+AB29*$B$8)</f>
        <v>108.87150000000001</v>
      </c>
      <c r="AC30" s="635"/>
      <c r="AD30" s="635"/>
    </row>
    <row r="31" spans="1:30" hidden="1">
      <c r="A31" s="1360" t="s">
        <v>111</v>
      </c>
      <c r="B31" s="1361" t="s">
        <v>337</v>
      </c>
      <c r="C31" s="641"/>
      <c r="D31" s="1364" t="str">
        <f>D27</f>
        <v>A</v>
      </c>
      <c r="E31" s="1365"/>
      <c r="F31" s="1366"/>
      <c r="G31" s="791"/>
      <c r="H31" s="1364" t="str">
        <f>H27</f>
        <v>B</v>
      </c>
      <c r="I31" s="1365"/>
      <c r="J31" s="1366"/>
      <c r="K31" s="791"/>
      <c r="L31" s="1364" t="str">
        <f>L27</f>
        <v>C</v>
      </c>
      <c r="M31" s="1365"/>
      <c r="N31" s="1366"/>
      <c r="O31" s="791"/>
      <c r="P31" s="1364" t="str">
        <f>P27</f>
        <v>D</v>
      </c>
      <c r="Q31" s="1365"/>
      <c r="R31" s="1366"/>
      <c r="S31" s="791"/>
      <c r="T31" s="1364" t="str">
        <f>T27</f>
        <v>E</v>
      </c>
      <c r="U31" s="1365"/>
      <c r="V31" s="1366"/>
      <c r="W31" s="791"/>
      <c r="X31" s="1364" t="str">
        <f>X27</f>
        <v>F</v>
      </c>
      <c r="Y31" s="1365"/>
      <c r="Z31" s="1366"/>
      <c r="AA31" s="791"/>
      <c r="AB31" s="1364" t="str">
        <f>AB27</f>
        <v>G</v>
      </c>
      <c r="AC31" s="1365"/>
      <c r="AD31" s="1366"/>
    </row>
    <row r="32" spans="1:30" hidden="1">
      <c r="A32" s="1419" t="s">
        <v>176</v>
      </c>
      <c r="B32" s="1420"/>
      <c r="C32" s="1421"/>
      <c r="D32" s="1422">
        <f>D30</f>
        <v>43.531500000000001</v>
      </c>
      <c r="E32" s="1423"/>
      <c r="F32" s="1424"/>
      <c r="G32" s="1425"/>
      <c r="H32" s="1422">
        <f>H30</f>
        <v>50.61</v>
      </c>
      <c r="I32" s="1423"/>
      <c r="J32" s="1424"/>
      <c r="K32" s="1425"/>
      <c r="L32" s="1422">
        <f>L30</f>
        <v>59.080000000000005</v>
      </c>
      <c r="M32" s="1423"/>
      <c r="N32" s="1424"/>
      <c r="O32" s="1425"/>
      <c r="P32" s="1422">
        <f>P30</f>
        <v>67.610500000000002</v>
      </c>
      <c r="Q32" s="1423"/>
      <c r="R32" s="1424"/>
      <c r="S32" s="1425"/>
      <c r="T32" s="1422">
        <f>T30</f>
        <v>77.532499999999999</v>
      </c>
      <c r="U32" s="1423"/>
      <c r="V32" s="1424"/>
      <c r="W32" s="1425"/>
      <c r="X32" s="1422">
        <f>X30</f>
        <v>87.333500000000001</v>
      </c>
      <c r="Y32" s="1423"/>
      <c r="Z32" s="1424"/>
      <c r="AA32" s="1425"/>
      <c r="AB32" s="1422">
        <f>AB30</f>
        <v>108.87150000000001</v>
      </c>
      <c r="AC32" s="1423"/>
      <c r="AD32" s="1424"/>
    </row>
    <row r="33" spans="1:30" hidden="1">
      <c r="A33" s="1419" t="s">
        <v>187</v>
      </c>
      <c r="B33" s="1420"/>
      <c r="C33" s="1421"/>
      <c r="D33" s="1422">
        <f>D32*5</f>
        <v>217.6575</v>
      </c>
      <c r="E33" s="1423"/>
      <c r="F33" s="1424"/>
      <c r="G33" s="1425"/>
      <c r="H33" s="1422">
        <f>H32*5</f>
        <v>253.05</v>
      </c>
      <c r="I33" s="1423"/>
      <c r="J33" s="1424"/>
      <c r="K33" s="1425"/>
      <c r="L33" s="1422">
        <f>L32*5</f>
        <v>295.40000000000003</v>
      </c>
      <c r="M33" s="1423"/>
      <c r="N33" s="1424"/>
      <c r="O33" s="1425"/>
      <c r="P33" s="1422">
        <f>P32*5</f>
        <v>338.05250000000001</v>
      </c>
      <c r="Q33" s="1423"/>
      <c r="R33" s="1424"/>
      <c r="S33" s="1425"/>
      <c r="T33" s="1422">
        <f>T32*5</f>
        <v>387.66250000000002</v>
      </c>
      <c r="U33" s="1423"/>
      <c r="V33" s="1424"/>
      <c r="W33" s="1425"/>
      <c r="X33" s="1422">
        <f>X32*5</f>
        <v>436.66750000000002</v>
      </c>
      <c r="Y33" s="1423"/>
      <c r="Z33" s="1424"/>
      <c r="AA33" s="1425"/>
      <c r="AB33" s="1422">
        <f>AB32*5</f>
        <v>544.35750000000007</v>
      </c>
      <c r="AC33" s="1423"/>
      <c r="AD33" s="1424"/>
    </row>
    <row r="34" spans="1:30" ht="19" hidden="1" thickBot="1">
      <c r="A34" s="1427" t="s">
        <v>517</v>
      </c>
      <c r="B34" s="1428"/>
      <c r="C34" s="1421"/>
      <c r="D34" s="1429">
        <f>D33*0.9*5</f>
        <v>979.45875000000001</v>
      </c>
      <c r="E34" s="1430"/>
      <c r="F34" s="1431"/>
      <c r="G34" s="1425"/>
      <c r="H34" s="1429">
        <f>H33*0.9*5</f>
        <v>1138.7249999999999</v>
      </c>
      <c r="I34" s="1430"/>
      <c r="J34" s="1431"/>
      <c r="K34" s="1425"/>
      <c r="L34" s="1429">
        <f>L33*0.9*5</f>
        <v>1329.3000000000002</v>
      </c>
      <c r="M34" s="1430"/>
      <c r="N34" s="1431"/>
      <c r="O34" s="1425"/>
      <c r="P34" s="1429">
        <f>P33*0.9*5</f>
        <v>1521.2362499999999</v>
      </c>
      <c r="Q34" s="1430"/>
      <c r="R34" s="1431"/>
      <c r="S34" s="1425"/>
      <c r="T34" s="1429">
        <f>T33*0.9*5</f>
        <v>1744.48125</v>
      </c>
      <c r="U34" s="1430"/>
      <c r="V34" s="1431"/>
      <c r="W34" s="1425"/>
      <c r="X34" s="1429">
        <f>X33*0.9*5</f>
        <v>1965.0037500000003</v>
      </c>
      <c r="Y34" s="1430"/>
      <c r="Z34" s="1431"/>
      <c r="AA34" s="1425"/>
      <c r="AB34" s="1429">
        <f>AB33*0.9*5</f>
        <v>2449.6087500000003</v>
      </c>
      <c r="AC34" s="1430"/>
      <c r="AD34" s="1431"/>
    </row>
    <row r="35" spans="1:30" ht="19" hidden="1" thickBot="1">
      <c r="A35" s="5"/>
      <c r="B35" s="313"/>
      <c r="C35" s="641"/>
      <c r="D35" s="317"/>
      <c r="E35" s="317"/>
      <c r="F35" s="317"/>
      <c r="G35" s="790"/>
      <c r="H35" s="317"/>
      <c r="I35" s="317"/>
      <c r="J35" s="317"/>
      <c r="K35" s="790"/>
      <c r="L35" s="317"/>
      <c r="M35" s="317"/>
      <c r="N35" s="317"/>
      <c r="O35" s="790"/>
      <c r="P35" s="317"/>
      <c r="Q35" s="317"/>
      <c r="R35" s="317"/>
      <c r="S35" s="790"/>
      <c r="T35" s="317"/>
      <c r="U35" s="317"/>
      <c r="V35" s="317"/>
      <c r="W35" s="790"/>
      <c r="X35" s="317"/>
      <c r="Y35" s="317"/>
      <c r="Z35" s="317"/>
      <c r="AA35" s="790"/>
      <c r="AB35" s="317"/>
      <c r="AC35" s="635"/>
      <c r="AD35" s="635"/>
    </row>
    <row r="36" spans="1:30">
      <c r="A36" s="616" t="s">
        <v>580</v>
      </c>
      <c r="B36" s="618" t="str">
        <f>B31</f>
        <v>Code tarif</v>
      </c>
      <c r="C36" s="642"/>
      <c r="D36" s="619" t="str">
        <f>D31</f>
        <v>A</v>
      </c>
      <c r="E36" s="617" t="s">
        <v>1204</v>
      </c>
      <c r="F36" s="617" t="s">
        <v>917</v>
      </c>
      <c r="G36" s="792"/>
      <c r="H36" s="619" t="str">
        <f>H31</f>
        <v>B</v>
      </c>
      <c r="I36" s="617" t="s">
        <v>1204</v>
      </c>
      <c r="J36" s="617" t="s">
        <v>917</v>
      </c>
      <c r="K36" s="792"/>
      <c r="L36" s="619" t="str">
        <f>L31</f>
        <v>C</v>
      </c>
      <c r="M36" s="633" t="s">
        <v>1208</v>
      </c>
      <c r="N36" s="633" t="s">
        <v>935</v>
      </c>
      <c r="O36" s="792"/>
      <c r="P36" s="619" t="str">
        <f>P31</f>
        <v>D</v>
      </c>
      <c r="Q36" s="633" t="s">
        <v>1208</v>
      </c>
      <c r="R36" s="633" t="s">
        <v>935</v>
      </c>
      <c r="S36" s="792"/>
      <c r="T36" s="619" t="str">
        <f>T31</f>
        <v>E</v>
      </c>
      <c r="U36" s="633" t="s">
        <v>1208</v>
      </c>
      <c r="V36" s="633" t="s">
        <v>935</v>
      </c>
      <c r="W36" s="792"/>
      <c r="X36" s="619" t="str">
        <f>X31</f>
        <v>F</v>
      </c>
      <c r="Y36" s="633" t="s">
        <v>1208</v>
      </c>
      <c r="Z36" s="633" t="s">
        <v>935</v>
      </c>
      <c r="AA36" s="792"/>
      <c r="AB36" s="619" t="str">
        <f>AB31</f>
        <v>G</v>
      </c>
      <c r="AC36" s="633" t="s">
        <v>1208</v>
      </c>
      <c r="AD36" s="633" t="s">
        <v>935</v>
      </c>
    </row>
    <row r="37" spans="1:30" ht="15" customHeight="1">
      <c r="A37" s="1419" t="s">
        <v>176</v>
      </c>
      <c r="B37" s="1420">
        <v>0.45</v>
      </c>
      <c r="C37" s="1433"/>
      <c r="D37" s="1750">
        <f>D32*(1+$B$15)</f>
        <v>63.120674999999999</v>
      </c>
      <c r="E37" s="1751"/>
      <c r="F37" s="1750">
        <f>D37*E37</f>
        <v>0</v>
      </c>
      <c r="G37" s="1434"/>
      <c r="H37" s="1750">
        <f>H32*(1+$B$15)</f>
        <v>73.384500000000003</v>
      </c>
      <c r="I37" s="1751"/>
      <c r="J37" s="1750">
        <f>H37*I37</f>
        <v>0</v>
      </c>
      <c r="K37" s="1434"/>
      <c r="L37" s="1750">
        <f>L32*(1+$B$15)</f>
        <v>85.666000000000011</v>
      </c>
      <c r="M37" s="1751"/>
      <c r="N37" s="1750">
        <f>L37*M37</f>
        <v>0</v>
      </c>
      <c r="O37" s="1434"/>
      <c r="P37" s="1750">
        <f>P32*(1+$B$15)</f>
        <v>98.035224999999997</v>
      </c>
      <c r="Q37" s="1751"/>
      <c r="R37" s="1750">
        <f>P37*Q37</f>
        <v>0</v>
      </c>
      <c r="S37" s="1434"/>
      <c r="T37" s="1750">
        <f>T32*(1+$B$15)</f>
        <v>112.42212499999999</v>
      </c>
      <c r="U37" s="1751"/>
      <c r="V37" s="1750">
        <f>T37*U37</f>
        <v>0</v>
      </c>
      <c r="W37" s="1434"/>
      <c r="X37" s="1750">
        <f>X32*(1+$B$15)</f>
        <v>126.63357499999999</v>
      </c>
      <c r="Y37" s="1751"/>
      <c r="Z37" s="1750">
        <f>X37*Y37</f>
        <v>0</v>
      </c>
      <c r="AA37" s="1434"/>
      <c r="AB37" s="1750">
        <f>AB32*(1+$B$15)</f>
        <v>157.863675</v>
      </c>
      <c r="AC37" s="1751"/>
      <c r="AD37" s="1750">
        <f>AB37*AC37</f>
        <v>0</v>
      </c>
    </row>
    <row r="38" spans="1:30" ht="15" customHeight="1">
      <c r="A38" s="1419" t="s">
        <v>187</v>
      </c>
      <c r="B38" s="1420"/>
      <c r="C38" s="1433"/>
      <c r="D38" s="1750">
        <f>D33*(1+$B$15)</f>
        <v>315.60337499999997</v>
      </c>
      <c r="E38" s="1751"/>
      <c r="F38" s="1750">
        <f>D38*E38</f>
        <v>0</v>
      </c>
      <c r="G38" s="1434"/>
      <c r="H38" s="1750">
        <f>H33*(1+$B$15)</f>
        <v>366.92250000000001</v>
      </c>
      <c r="I38" s="1751"/>
      <c r="J38" s="1750">
        <f>H38*I38</f>
        <v>0</v>
      </c>
      <c r="K38" s="1434"/>
      <c r="L38" s="1750">
        <f>L33*(1+$B$15)</f>
        <v>428.33000000000004</v>
      </c>
      <c r="M38" s="1751"/>
      <c r="N38" s="1750">
        <f>L38*M38</f>
        <v>0</v>
      </c>
      <c r="O38" s="1434"/>
      <c r="P38" s="1750">
        <f>P33*(1+$B$15)</f>
        <v>490.17612500000001</v>
      </c>
      <c r="Q38" s="1751"/>
      <c r="R38" s="1750">
        <f>P38*Q38</f>
        <v>0</v>
      </c>
      <c r="S38" s="1434"/>
      <c r="T38" s="1750">
        <f>T33*(1+$B$15)</f>
        <v>562.11062500000003</v>
      </c>
      <c r="U38" s="1751"/>
      <c r="V38" s="1750">
        <f>T38*U38</f>
        <v>0</v>
      </c>
      <c r="W38" s="1434"/>
      <c r="X38" s="1750">
        <f>X33*(1+$B$15)</f>
        <v>633.16787499999998</v>
      </c>
      <c r="Y38" s="1751"/>
      <c r="Z38" s="1750">
        <f>X38*Y38</f>
        <v>0</v>
      </c>
      <c r="AA38" s="1434"/>
      <c r="AB38" s="1750">
        <f>AB33*(1+$B$15)</f>
        <v>789.31837500000006</v>
      </c>
      <c r="AC38" s="1751"/>
      <c r="AD38" s="1750">
        <f>AB38*AC38</f>
        <v>0</v>
      </c>
    </row>
    <row r="39" spans="1:30" ht="15" customHeight="1" thickBot="1">
      <c r="A39" s="1427" t="s">
        <v>517</v>
      </c>
      <c r="B39" s="1428"/>
      <c r="C39" s="1433"/>
      <c r="D39" s="1753">
        <f>D34*(1+$B$15)</f>
        <v>1420.2151875</v>
      </c>
      <c r="E39" s="1754"/>
      <c r="F39" s="1758">
        <f>D39*E39</f>
        <v>0</v>
      </c>
      <c r="G39" s="1434"/>
      <c r="H39" s="1753">
        <f>H34*(1+$B$15)</f>
        <v>1651.1512499999999</v>
      </c>
      <c r="I39" s="1754"/>
      <c r="J39" s="1758">
        <f>H39*I39</f>
        <v>0</v>
      </c>
      <c r="K39" s="1434"/>
      <c r="L39" s="1753">
        <f>L34*(1+$B$15)</f>
        <v>1927.4850000000001</v>
      </c>
      <c r="M39" s="1754"/>
      <c r="N39" s="1758">
        <f>L39*M39</f>
        <v>0</v>
      </c>
      <c r="O39" s="1434"/>
      <c r="P39" s="1753">
        <f>P34*(1+$B$15)</f>
        <v>2205.7925624999998</v>
      </c>
      <c r="Q39" s="1754"/>
      <c r="R39" s="1758">
        <f>P39*Q39</f>
        <v>0</v>
      </c>
      <c r="S39" s="1434"/>
      <c r="T39" s="1753">
        <f>T34*(1+$B$15)</f>
        <v>2529.4978124999998</v>
      </c>
      <c r="U39" s="1754"/>
      <c r="V39" s="1758">
        <f>T39*U39</f>
        <v>0</v>
      </c>
      <c r="W39" s="1434"/>
      <c r="X39" s="1753">
        <f>X34*(1+$B$15)</f>
        <v>2849.2554375000004</v>
      </c>
      <c r="Y39" s="1754"/>
      <c r="Z39" s="1758">
        <f>X39*Y39</f>
        <v>0</v>
      </c>
      <c r="AA39" s="1434"/>
      <c r="AB39" s="1753">
        <f>AB34*(1+$B$15)</f>
        <v>3551.9326875000002</v>
      </c>
      <c r="AC39" s="1759"/>
      <c r="AD39" s="1758">
        <f>AB39*AC39</f>
        <v>0</v>
      </c>
    </row>
    <row r="40" spans="1:30" ht="22" customHeight="1" thickBot="1">
      <c r="A40" s="320"/>
      <c r="B40" s="321"/>
      <c r="C40" s="643"/>
      <c r="D40" s="635"/>
      <c r="E40" s="635"/>
      <c r="F40" s="639">
        <f>SUM(F37:F39)</f>
        <v>0</v>
      </c>
      <c r="G40" s="793"/>
      <c r="H40" s="639"/>
      <c r="I40" s="639"/>
      <c r="J40" s="639">
        <f>SUM(J37:J39)</f>
        <v>0</v>
      </c>
      <c r="K40" s="793"/>
      <c r="L40" s="639"/>
      <c r="M40" s="639"/>
      <c r="N40" s="639">
        <f>SUM(N37:N39)</f>
        <v>0</v>
      </c>
      <c r="O40" s="793"/>
      <c r="P40" s="639"/>
      <c r="Q40" s="639"/>
      <c r="R40" s="639">
        <f>SUM(R37:R39)</f>
        <v>0</v>
      </c>
      <c r="S40" s="793"/>
      <c r="T40" s="639"/>
      <c r="U40" s="639"/>
      <c r="V40" s="639">
        <f>SUM(V37:V39)</f>
        <v>0</v>
      </c>
      <c r="W40" s="793"/>
      <c r="X40" s="639"/>
      <c r="Y40" s="639"/>
      <c r="Z40" s="639">
        <f>SUM(Z37:Z39)</f>
        <v>0</v>
      </c>
      <c r="AA40" s="793"/>
      <c r="AB40" s="639"/>
      <c r="AC40" s="639"/>
      <c r="AD40" s="639">
        <f>SUM(AD37:AD39)</f>
        <v>0</v>
      </c>
    </row>
    <row r="41" spans="1:30" ht="22" customHeight="1" thickBot="1">
      <c r="A41" s="320"/>
      <c r="B41" s="321"/>
      <c r="C41" s="643"/>
      <c r="D41" s="2963" t="s">
        <v>745</v>
      </c>
      <c r="E41" s="2966"/>
      <c r="F41" s="2967"/>
      <c r="G41" s="794"/>
      <c r="H41" s="2963" t="s">
        <v>628</v>
      </c>
      <c r="I41" s="2966"/>
      <c r="J41" s="2967"/>
      <c r="K41" s="794"/>
      <c r="L41" s="2963" t="s">
        <v>1018</v>
      </c>
      <c r="M41" s="2966"/>
      <c r="N41" s="2967"/>
      <c r="O41" s="794"/>
      <c r="P41" s="2963" t="s">
        <v>439</v>
      </c>
      <c r="Q41" s="2966"/>
      <c r="R41" s="2967"/>
      <c r="S41" s="794"/>
      <c r="T41" s="2963" t="s">
        <v>479</v>
      </c>
      <c r="U41" s="2966"/>
      <c r="V41" s="2965"/>
      <c r="W41" s="794"/>
      <c r="X41" s="2963" t="s">
        <v>817</v>
      </c>
      <c r="Y41" s="2966"/>
      <c r="Z41" s="2967"/>
      <c r="AA41" s="794"/>
      <c r="AB41" s="2963" t="s">
        <v>668</v>
      </c>
      <c r="AC41" s="2964"/>
      <c r="AD41" s="2965"/>
    </row>
    <row r="42" spans="1:30" ht="15" customHeight="1">
      <c r="A42" s="616" t="s">
        <v>597</v>
      </c>
      <c r="B42" s="618" t="s">
        <v>486</v>
      </c>
      <c r="C42" s="642"/>
      <c r="D42" s="620" t="str">
        <f>D36</f>
        <v>A</v>
      </c>
      <c r="E42" s="617" t="s">
        <v>1204</v>
      </c>
      <c r="F42" s="617" t="s">
        <v>917</v>
      </c>
      <c r="G42" s="792"/>
      <c r="H42" s="620" t="str">
        <f>H36</f>
        <v>B</v>
      </c>
      <c r="I42" s="617" t="s">
        <v>1204</v>
      </c>
      <c r="J42" s="617" t="s">
        <v>917</v>
      </c>
      <c r="K42" s="792"/>
      <c r="L42" s="620" t="str">
        <f>L36</f>
        <v>C</v>
      </c>
      <c r="M42" s="633" t="s">
        <v>1208</v>
      </c>
      <c r="N42" s="633" t="s">
        <v>935</v>
      </c>
      <c r="O42" s="792"/>
      <c r="P42" s="620" t="str">
        <f>P36</f>
        <v>D</v>
      </c>
      <c r="Q42" s="633" t="s">
        <v>1208</v>
      </c>
      <c r="R42" s="633" t="s">
        <v>935</v>
      </c>
      <c r="S42" s="792"/>
      <c r="T42" s="620" t="str">
        <f>T36</f>
        <v>E</v>
      </c>
      <c r="U42" s="633" t="s">
        <v>1208</v>
      </c>
      <c r="V42" s="633" t="s">
        <v>935</v>
      </c>
      <c r="W42" s="792"/>
      <c r="X42" s="620" t="str">
        <f>X36</f>
        <v>F</v>
      </c>
      <c r="Y42" s="633" t="s">
        <v>1208</v>
      </c>
      <c r="Z42" s="633" t="s">
        <v>935</v>
      </c>
      <c r="AA42" s="792"/>
      <c r="AB42" s="620" t="str">
        <f>AB36</f>
        <v>G</v>
      </c>
      <c r="AC42" s="638" t="s">
        <v>1208</v>
      </c>
      <c r="AD42" s="638" t="s">
        <v>935</v>
      </c>
    </row>
    <row r="43" spans="1:30" ht="15" customHeight="1">
      <c r="A43" s="1419" t="s">
        <v>176</v>
      </c>
      <c r="B43" s="1420">
        <v>1</v>
      </c>
      <c r="C43" s="1433"/>
      <c r="D43" s="1750">
        <f>D37*(1+$B$43)</f>
        <v>126.24135</v>
      </c>
      <c r="E43" s="1751"/>
      <c r="F43" s="1750">
        <f>D43*E43</f>
        <v>0</v>
      </c>
      <c r="G43" s="1435"/>
      <c r="H43" s="1750">
        <f>H37*(1+$B$43)</f>
        <v>146.76900000000001</v>
      </c>
      <c r="I43" s="1751"/>
      <c r="J43" s="1750">
        <f>H43*I43</f>
        <v>0</v>
      </c>
      <c r="K43" s="1435"/>
      <c r="L43" s="1750">
        <f>L37*(1+$B$43)</f>
        <v>171.33200000000002</v>
      </c>
      <c r="M43" s="1751"/>
      <c r="N43" s="1750">
        <f>L43*M43</f>
        <v>0</v>
      </c>
      <c r="O43" s="1435"/>
      <c r="P43" s="1750">
        <f>P37*(1+$B$43)</f>
        <v>196.07044999999999</v>
      </c>
      <c r="Q43" s="1751"/>
      <c r="R43" s="1750">
        <f>P43*Q43</f>
        <v>0</v>
      </c>
      <c r="S43" s="1435"/>
      <c r="T43" s="1750">
        <f>T37*(1+$B$43)</f>
        <v>224.84424999999999</v>
      </c>
      <c r="U43" s="1751"/>
      <c r="V43" s="1750">
        <f>T43*U43</f>
        <v>0</v>
      </c>
      <c r="W43" s="1435"/>
      <c r="X43" s="1750">
        <f>X37*(1+$B$43)</f>
        <v>253.26714999999999</v>
      </c>
      <c r="Y43" s="1751"/>
      <c r="Z43" s="1750">
        <f>X43*Y43</f>
        <v>0</v>
      </c>
      <c r="AA43" s="1435"/>
      <c r="AB43" s="1750">
        <f>AB37*(1+$B$43)</f>
        <v>315.72735</v>
      </c>
      <c r="AC43" s="1751"/>
      <c r="AD43" s="1750">
        <f>AB43*AC43</f>
        <v>0</v>
      </c>
    </row>
    <row r="44" spans="1:30" ht="15" customHeight="1">
      <c r="A44" s="1419" t="s">
        <v>187</v>
      </c>
      <c r="B44" s="1420"/>
      <c r="C44" s="566"/>
      <c r="D44" s="1750">
        <f>D38*(1+$B$43)</f>
        <v>631.20674999999994</v>
      </c>
      <c r="E44" s="1751"/>
      <c r="F44" s="1750">
        <f>D44*E44</f>
        <v>0</v>
      </c>
      <c r="G44" s="1435"/>
      <c r="H44" s="1750">
        <f>H38*(1+$B$43)</f>
        <v>733.84500000000003</v>
      </c>
      <c r="I44" s="1751"/>
      <c r="J44" s="1750">
        <f>H44*I44</f>
        <v>0</v>
      </c>
      <c r="K44" s="1435"/>
      <c r="L44" s="1750">
        <f>L38*(1+$B$43)</f>
        <v>856.66000000000008</v>
      </c>
      <c r="M44" s="1751"/>
      <c r="N44" s="1750">
        <f>L44*M44</f>
        <v>0</v>
      </c>
      <c r="O44" s="1435"/>
      <c r="P44" s="1750">
        <f>P38*(1+$B$43)</f>
        <v>980.35225000000003</v>
      </c>
      <c r="Q44" s="1751"/>
      <c r="R44" s="1750">
        <f>P44*Q44</f>
        <v>0</v>
      </c>
      <c r="S44" s="1435"/>
      <c r="T44" s="1750">
        <f>T38*(1+$B$43)</f>
        <v>1124.2212500000001</v>
      </c>
      <c r="U44" s="1751"/>
      <c r="V44" s="1750">
        <f>T44*U44</f>
        <v>0</v>
      </c>
      <c r="W44" s="1435"/>
      <c r="X44" s="1750">
        <f>X38*(1+$B$43)</f>
        <v>1266.33575</v>
      </c>
      <c r="Y44" s="1751"/>
      <c r="Z44" s="1750">
        <f>X44*Y44</f>
        <v>0</v>
      </c>
      <c r="AA44" s="1435"/>
      <c r="AB44" s="1750">
        <f>AB38*(1+$B$43)</f>
        <v>1578.6367500000001</v>
      </c>
      <c r="AC44" s="1751"/>
      <c r="AD44" s="1750">
        <f>AB44*AC44</f>
        <v>0</v>
      </c>
    </row>
    <row r="45" spans="1:30" ht="15" customHeight="1" thickBot="1">
      <c r="A45" s="1427" t="s">
        <v>517</v>
      </c>
      <c r="B45" s="1428"/>
      <c r="C45" s="566"/>
      <c r="D45" s="1763">
        <f>D39*(1+$B$43)</f>
        <v>2840.4303749999999</v>
      </c>
      <c r="E45" s="1761"/>
      <c r="F45" s="1758">
        <f>D45*E45</f>
        <v>0</v>
      </c>
      <c r="G45" s="1435"/>
      <c r="H45" s="1763">
        <f>H39*(1+$B$43)</f>
        <v>3302.3024999999998</v>
      </c>
      <c r="I45" s="1761"/>
      <c r="J45" s="1758">
        <f>H45*I45</f>
        <v>0</v>
      </c>
      <c r="K45" s="1435"/>
      <c r="L45" s="1763">
        <f>L39*(1+$B$43)</f>
        <v>3854.9700000000003</v>
      </c>
      <c r="M45" s="1761"/>
      <c r="N45" s="1758">
        <f>L45*M45</f>
        <v>0</v>
      </c>
      <c r="O45" s="1435"/>
      <c r="P45" s="1763">
        <f>P39*(1+$B$43)</f>
        <v>4411.5851249999996</v>
      </c>
      <c r="Q45" s="1761"/>
      <c r="R45" s="1758">
        <f>P45*Q45</f>
        <v>0</v>
      </c>
      <c r="S45" s="1435"/>
      <c r="T45" s="1763">
        <f>T39*(1+$B$43)</f>
        <v>5058.9956249999996</v>
      </c>
      <c r="U45" s="1761"/>
      <c r="V45" s="1758">
        <f>T45*U45</f>
        <v>0</v>
      </c>
      <c r="W45" s="1435"/>
      <c r="X45" s="1763">
        <f>X39*(1+$B$43)</f>
        <v>5698.5108750000009</v>
      </c>
      <c r="Y45" s="1761"/>
      <c r="Z45" s="1758">
        <f>X45*Y45</f>
        <v>0</v>
      </c>
      <c r="AA45" s="1435"/>
      <c r="AB45" s="1763">
        <f>AB39*(1+$B$43)</f>
        <v>7103.8653750000003</v>
      </c>
      <c r="AC45" s="1764"/>
      <c r="AD45" s="1758">
        <f>AB45*AC45</f>
        <v>0</v>
      </c>
    </row>
    <row r="46" spans="1:30" ht="22" customHeight="1">
      <c r="D46" s="637"/>
      <c r="E46" s="637"/>
      <c r="F46" s="640">
        <f>SUM(F43:F45)</f>
        <v>0</v>
      </c>
      <c r="G46" s="640"/>
      <c r="H46" s="640"/>
      <c r="I46" s="640"/>
      <c r="J46" s="640">
        <f>SUM(J43:J45)</f>
        <v>0</v>
      </c>
      <c r="K46" s="640"/>
      <c r="L46" s="640"/>
      <c r="M46" s="640"/>
      <c r="N46" s="640">
        <f>SUM(N43:N45)</f>
        <v>0</v>
      </c>
      <c r="O46" s="640"/>
      <c r="P46" s="640"/>
      <c r="Q46" s="640"/>
      <c r="R46" s="640">
        <f>SUM(R43:R45)</f>
        <v>0</v>
      </c>
      <c r="S46" s="640"/>
      <c r="T46" s="640"/>
      <c r="U46" s="640"/>
      <c r="V46" s="640">
        <f>SUM(V43:V45)</f>
        <v>0</v>
      </c>
      <c r="W46" s="640"/>
      <c r="X46" s="640"/>
      <c r="Y46" s="640"/>
      <c r="Z46" s="640">
        <f>SUM(Z43:Z45)</f>
        <v>0</v>
      </c>
      <c r="AA46" s="640"/>
      <c r="AB46" s="640"/>
      <c r="AC46" s="640"/>
      <c r="AD46" s="640">
        <f>SUM(AD43:AD45)</f>
        <v>0</v>
      </c>
    </row>
    <row r="49" spans="8:27" ht="99" customHeight="1">
      <c r="H49" s="2981" t="s">
        <v>39</v>
      </c>
      <c r="I49" s="2982"/>
      <c r="J49" s="2982"/>
      <c r="K49" s="2982"/>
      <c r="L49" s="2982"/>
      <c r="M49" s="2982"/>
      <c r="N49" s="2982"/>
      <c r="O49" s="2982"/>
      <c r="P49" s="2982"/>
      <c r="Q49" s="2982"/>
      <c r="R49" s="2982"/>
      <c r="S49" s="2982"/>
      <c r="T49" s="2982"/>
      <c r="U49" s="2982"/>
      <c r="V49" s="2982"/>
      <c r="W49" s="2982"/>
      <c r="X49" s="2983"/>
      <c r="Y49" s="630"/>
      <c r="Z49" s="630"/>
      <c r="AA49" s="630"/>
    </row>
  </sheetData>
  <mergeCells count="34">
    <mergeCell ref="AB41:AD41"/>
    <mergeCell ref="L5:N5"/>
    <mergeCell ref="P5:R5"/>
    <mergeCell ref="H49:X49"/>
    <mergeCell ref="D26:AD26"/>
    <mergeCell ref="D19:F19"/>
    <mergeCell ref="H19:J19"/>
    <mergeCell ref="L19:N19"/>
    <mergeCell ref="P19:R19"/>
    <mergeCell ref="T19:V19"/>
    <mergeCell ref="X19:Z19"/>
    <mergeCell ref="AB19:AD19"/>
    <mergeCell ref="D41:F41"/>
    <mergeCell ref="H41:J41"/>
    <mergeCell ref="L41:N41"/>
    <mergeCell ref="P41:R41"/>
    <mergeCell ref="T41:V41"/>
    <mergeCell ref="T5:V5"/>
    <mergeCell ref="X5:Z5"/>
    <mergeCell ref="X27:Z27"/>
    <mergeCell ref="X41:Z41"/>
    <mergeCell ref="A1:AB1"/>
    <mergeCell ref="B2:C2"/>
    <mergeCell ref="D4:AD4"/>
    <mergeCell ref="D2:AD2"/>
    <mergeCell ref="AB5:AD5"/>
    <mergeCell ref="AB27:AD27"/>
    <mergeCell ref="D5:F5"/>
    <mergeCell ref="D27:F27"/>
    <mergeCell ref="H27:J27"/>
    <mergeCell ref="L27:N27"/>
    <mergeCell ref="P27:R27"/>
    <mergeCell ref="T27:V27"/>
    <mergeCell ref="H5:J5"/>
  </mergeCells>
  <phoneticPr fontId="50" type="noConversion"/>
  <pageMargins left="0.71180555555555558" right="0.75000000000000011" top="1.1844444444444444" bottom="0.59583333333333333" header="0.96777777777777774" footer="0.32458333333333333"/>
  <pageSetup paperSize="10" scale="46" orientation="landscape" horizontalDpi="4294967292" verticalDpi="4294967292"/>
  <headerFooter>
    <oddHeader>&amp;CEVALUATION BAREME "AGENCE"</oddHeader>
  </headerFooter>
  <ignoredErrors>
    <ignoredError sqref="P47 M17:M18 H47 L47 T47 D47 AB47 X47 AB42:AB45 X29:X39 T29:T39 P29:P39 L29:L39 L42:L45 H29:H39 D42:D45 H42:H45 D29:D39 D16:D18 X42:X45 X20:X23 P42:P45 T42:T45 P20:P23 D20:D23 H20:H23 L20:L23 T20:T23 AB20:AB23 AB40 Z18 T24 D40 V18 X40 P40 R18 L24 X24 N18 T40 L40 F24:F30 H24 H40 AB24 F15:F16 D24 P24 X15:X18 P15:P18 N35:N36 H15:H18 L15:L18 T15:T18 AB15:AB18 M15 AC35:AC40 E17:E18 I20:I21 J20 I35:I40 F35:F40 J35:J40 N40 R40 E35:E40 E20:E30 AD18 J42 E42:E45 N42 R42 V42 Z42 AD42 J17:J18 I15:I18 J15 Q15:Q18 U15:U18 Y15:Y18 AC15:AC18 AB29:AB39 AD20 Z35:Z36 Z20 V35:V36 V20 R35:R36 R20 F42 N20 M35:M40 F20 Q35:Q40 U35:U40 Y35:Y40 AD35:AD36 AD24:AD30 AC42:AC45 Y42:Y45 U42:U45 Q42:Q45 M42:M45 I42:I45 M20:M21 D25:D27 H25:H27 L25:L27 P25:P27 T25:T27 X25:X27 AB25:AB27 AC20:AC30 Z24:Z30 Y20:Y30 V24:V30 U20:U30 R24:R30 Q20:Q30 N24:N30 M23:M30 I23:I30 J24:J30" emptyCellReference="1"/>
  </ignoredErrors>
  <drawing r:id="rId1"/>
  <extLst>
    <ext xmlns:mx="http://schemas.microsoft.com/office/mac/excel/2008/main" uri="http://schemas.microsoft.com/office/mac/excel/2008/main">
      <mx:PLV Mode="1"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L32"/>
  <sheetViews>
    <sheetView showGridLines="0" view="pageLayout" topLeftCell="A13" zoomScale="123" zoomScaleNormal="123" zoomScalePageLayoutView="123" workbookViewId="0">
      <selection activeCell="D3" sqref="D3"/>
    </sheetView>
  </sheetViews>
  <sheetFormatPr baseColWidth="10" defaultRowHeight="13"/>
  <cols>
    <col min="1" max="2" width="9.25" style="1065" customWidth="1"/>
    <col min="3" max="3" width="11" style="1065" customWidth="1"/>
    <col min="4" max="4" width="11.25" style="1065" customWidth="1"/>
    <col min="5" max="5" width="10.75" style="1065" customWidth="1"/>
    <col min="6" max="6" width="9.5" style="1065" customWidth="1"/>
    <col min="7" max="7" width="8.875" style="1065" customWidth="1"/>
    <col min="8" max="8" width="7.75" style="1065" customWidth="1"/>
    <col min="9" max="9" width="9.75" style="1065" customWidth="1"/>
    <col min="10" max="11" width="8.875" style="1065" customWidth="1"/>
    <col min="12" max="16384" width="10.625" style="1065"/>
  </cols>
  <sheetData>
    <row r="1" spans="1:12" ht="23" customHeight="1"/>
    <row r="2" spans="1:12" s="1087" customFormat="1" ht="23" customHeight="1">
      <c r="A2" s="2990" t="s">
        <v>394</v>
      </c>
      <c r="B2" s="2990"/>
      <c r="C2" s="2990"/>
      <c r="D2" s="1096">
        <f>IF('Votre profil'!D11="oui",'Devis-Fact'!E75-'Votre profil'!D40,'Devis-Fact'!E70-'Votre profil'!D40)</f>
        <v>24.119999999999997</v>
      </c>
      <c r="E2" s="1087" t="s">
        <v>103</v>
      </c>
    </row>
    <row r="3" spans="1:12" s="1087" customFormat="1" ht="23" customHeight="1">
      <c r="A3" s="2990" t="s">
        <v>454</v>
      </c>
      <c r="B3" s="2990"/>
      <c r="C3" s="2990"/>
      <c r="D3" s="1095" t="str">
        <f ca="1">IF('Devis-Fact'!$D$85&gt;D4,"",'Devis-Fact'!$D$85)</f>
        <v/>
      </c>
      <c r="E3" s="1087" t="s">
        <v>602</v>
      </c>
    </row>
    <row r="4" spans="1:12" s="1087" customFormat="1" ht="23" customHeight="1">
      <c r="A4" s="2990" t="s">
        <v>220</v>
      </c>
      <c r="B4" s="2990"/>
      <c r="C4" s="2990"/>
      <c r="D4" s="1094">
        <f ca="1">TODAY()</f>
        <v>44649</v>
      </c>
      <c r="E4" s="1087" t="s">
        <v>758</v>
      </c>
    </row>
    <row r="5" spans="1:12" s="1087" customFormat="1"/>
    <row r="6" spans="1:12" s="1087" customFormat="1" ht="21" customHeight="1">
      <c r="A6" s="1091"/>
      <c r="E6" s="1093"/>
      <c r="F6" s="2991"/>
      <c r="G6" s="2991"/>
      <c r="H6" s="2991"/>
      <c r="I6" s="1088"/>
    </row>
    <row r="7" spans="1:12" s="1087" customFormat="1" ht="21" customHeight="1">
      <c r="A7" s="1091" t="s">
        <v>516</v>
      </c>
      <c r="E7" s="1071">
        <v>8.6999999999999994E-3</v>
      </c>
      <c r="F7" s="2991" t="s">
        <v>286</v>
      </c>
      <c r="G7" s="2991"/>
      <c r="H7" s="2991"/>
      <c r="I7" s="1088" t="s">
        <v>62</v>
      </c>
    </row>
    <row r="8" spans="1:12" s="1087" customFormat="1" ht="15" customHeight="1">
      <c r="A8" s="1091"/>
      <c r="E8" s="1092"/>
      <c r="F8" s="1070"/>
      <c r="G8" s="1070"/>
      <c r="H8" s="1070"/>
      <c r="I8" s="1091" t="s">
        <v>25</v>
      </c>
    </row>
    <row r="9" spans="1:12" s="1087" customFormat="1" ht="20" customHeight="1">
      <c r="A9" s="1091" t="s">
        <v>586</v>
      </c>
      <c r="D9" s="1090"/>
      <c r="E9" s="1071">
        <v>0</v>
      </c>
      <c r="G9" s="1089">
        <v>2019</v>
      </c>
      <c r="I9" s="1088" t="s">
        <v>443</v>
      </c>
    </row>
    <row r="11" spans="1:12" ht="17" customHeight="1"/>
    <row r="12" spans="1:12" ht="48" customHeight="1">
      <c r="H12" s="2988" t="s">
        <v>569</v>
      </c>
    </row>
    <row r="13" spans="1:12" s="1070" customFormat="1" ht="20" customHeight="1">
      <c r="A13" s="2985" t="s">
        <v>65</v>
      </c>
      <c r="B13" s="2987"/>
      <c r="C13" s="2987"/>
      <c r="D13" s="2987"/>
      <c r="E13" s="2987"/>
      <c r="F13" s="2987"/>
      <c r="G13" s="2987"/>
      <c r="H13" s="2989"/>
      <c r="I13" s="1086"/>
      <c r="J13" s="1085"/>
      <c r="K13" s="1085"/>
      <c r="L13" s="1084"/>
    </row>
    <row r="14" spans="1:12" s="1083" customFormat="1" ht="46" customHeight="1">
      <c r="A14" s="1375" t="s">
        <v>330</v>
      </c>
      <c r="B14" s="1375" t="s">
        <v>142</v>
      </c>
      <c r="C14" s="1376" t="s">
        <v>46</v>
      </c>
      <c r="D14" s="1376" t="s">
        <v>47</v>
      </c>
      <c r="E14" s="1376" t="s">
        <v>567</v>
      </c>
      <c r="F14" s="1376" t="s">
        <v>68</v>
      </c>
      <c r="G14" s="1376" t="s">
        <v>143</v>
      </c>
      <c r="H14" s="1377">
        <v>3</v>
      </c>
      <c r="I14" s="1074" t="s">
        <v>524</v>
      </c>
      <c r="J14" s="1074" t="s">
        <v>96</v>
      </c>
      <c r="K14" s="1074" t="s">
        <v>75</v>
      </c>
      <c r="L14" s="1074" t="s">
        <v>31</v>
      </c>
    </row>
    <row r="15" spans="1:12" s="1070" customFormat="1" ht="42" customHeight="1">
      <c r="A15" s="1073" t="s">
        <v>224</v>
      </c>
      <c r="B15" s="1072" t="s">
        <v>224</v>
      </c>
      <c r="C15" s="1367">
        <f>$D$2</f>
        <v>24.119999999999997</v>
      </c>
      <c r="D15" s="1368" t="str">
        <f ca="1">$D$3</f>
        <v/>
      </c>
      <c r="E15" s="1368">
        <f ca="1">$D$4</f>
        <v>44649</v>
      </c>
      <c r="F15" s="1369" t="e">
        <f ca="1">E15-D15</f>
        <v>#VALUE!</v>
      </c>
      <c r="G15" s="1370">
        <f>$E$7</f>
        <v>8.6999999999999994E-3</v>
      </c>
      <c r="H15" s="1371">
        <f>(E7*H14)</f>
        <v>2.6099999999999998E-2</v>
      </c>
      <c r="I15" s="1372">
        <f>H15*C15</f>
        <v>0.62953199999999987</v>
      </c>
      <c r="J15" s="1373" t="e">
        <f ca="1">I15/365*F15</f>
        <v>#VALUE!</v>
      </c>
      <c r="K15" s="1373">
        <v>40</v>
      </c>
      <c r="L15" s="1374" t="e">
        <f ca="1">J15+K15</f>
        <v>#VALUE!</v>
      </c>
    </row>
    <row r="16" spans="1:12" s="1070" customFormat="1" ht="42" customHeight="1">
      <c r="C16" s="1082"/>
      <c r="D16" s="1081"/>
      <c r="E16" s="1081"/>
      <c r="F16" s="1080"/>
      <c r="G16" s="1079"/>
      <c r="H16" s="1079"/>
      <c r="I16" s="1078"/>
      <c r="J16" s="1077"/>
      <c r="K16" s="1077"/>
      <c r="L16" s="1076"/>
    </row>
    <row r="17" spans="1:12" ht="25" customHeight="1">
      <c r="A17" s="2985" t="s">
        <v>40</v>
      </c>
      <c r="B17" s="2992"/>
      <c r="C17" s="2992"/>
      <c r="D17" s="2992"/>
      <c r="E17" s="2992"/>
      <c r="F17" s="2992"/>
      <c r="G17" s="2992"/>
      <c r="H17" s="2992"/>
      <c r="I17" s="2992"/>
      <c r="J17" s="2992"/>
      <c r="K17" s="2992"/>
      <c r="L17" s="2992"/>
    </row>
    <row r="18" spans="1:12" s="1083" customFormat="1" ht="45" customHeight="1">
      <c r="A18" s="1074" t="s">
        <v>162</v>
      </c>
      <c r="B18" s="1074" t="s">
        <v>161</v>
      </c>
      <c r="C18" s="1075" t="s">
        <v>51</v>
      </c>
      <c r="D18" s="1075" t="s">
        <v>77</v>
      </c>
      <c r="E18" s="1075" t="s">
        <v>76</v>
      </c>
      <c r="F18" s="1075" t="s">
        <v>68</v>
      </c>
      <c r="G18" s="1075" t="s">
        <v>180</v>
      </c>
      <c r="H18" s="1074"/>
      <c r="I18" s="1074" t="s">
        <v>184</v>
      </c>
      <c r="J18" s="1074" t="s">
        <v>22</v>
      </c>
      <c r="K18" s="1074" t="s">
        <v>424</v>
      </c>
      <c r="L18" s="1074" t="s">
        <v>48</v>
      </c>
    </row>
    <row r="19" spans="1:12" s="1070" customFormat="1" ht="42" customHeight="1">
      <c r="A19" s="1073" t="s">
        <v>224</v>
      </c>
      <c r="B19" s="1072" t="s">
        <v>224</v>
      </c>
      <c r="C19" s="1367">
        <f>$D$2</f>
        <v>24.119999999999997</v>
      </c>
      <c r="D19" s="1368" t="str">
        <f ca="1">$D$3</f>
        <v/>
      </c>
      <c r="E19" s="1368">
        <f ca="1">$D$4</f>
        <v>44649</v>
      </c>
      <c r="F19" s="1369" t="e">
        <f ca="1">E19-D19</f>
        <v>#VALUE!</v>
      </c>
      <c r="G19" s="1370">
        <f>$E$9+0.1</f>
        <v>0.1</v>
      </c>
      <c r="H19" s="1371" t="s">
        <v>177</v>
      </c>
      <c r="I19" s="1372">
        <f>G19*C19</f>
        <v>2.4119999999999999</v>
      </c>
      <c r="J19" s="1373" t="e">
        <f ca="1">I19/365*F19</f>
        <v>#VALUE!</v>
      </c>
      <c r="K19" s="1373">
        <v>40</v>
      </c>
      <c r="L19" s="1374" t="e">
        <f ca="1">J19+K19</f>
        <v>#VALUE!</v>
      </c>
    </row>
    <row r="20" spans="1:12" s="1070" customFormat="1" ht="42" customHeight="1">
      <c r="C20" s="1082"/>
      <c r="D20" s="1081"/>
      <c r="E20" s="1081"/>
      <c r="F20" s="1080"/>
      <c r="G20" s="1079"/>
      <c r="H20" s="1079"/>
      <c r="I20" s="1078"/>
      <c r="J20" s="1077"/>
      <c r="K20" s="1077"/>
      <c r="L20" s="1076"/>
    </row>
    <row r="21" spans="1:12" ht="24" customHeight="1">
      <c r="A21" s="2985" t="s">
        <v>449</v>
      </c>
      <c r="B21" s="2986"/>
      <c r="C21" s="2986"/>
      <c r="D21" s="2986"/>
      <c r="E21" s="2986"/>
      <c r="F21" s="2986"/>
      <c r="G21" s="2986"/>
      <c r="H21" s="2986"/>
      <c r="I21" s="2986"/>
      <c r="J21" s="2986"/>
      <c r="K21" s="2986"/>
      <c r="L21" s="2986"/>
    </row>
    <row r="22" spans="1:12" ht="46" customHeight="1">
      <c r="A22" s="1074" t="s">
        <v>113</v>
      </c>
      <c r="B22" s="1074" t="s">
        <v>64</v>
      </c>
      <c r="C22" s="1075" t="s">
        <v>92</v>
      </c>
      <c r="D22" s="1075" t="s">
        <v>91</v>
      </c>
      <c r="E22" s="1075" t="s">
        <v>89</v>
      </c>
      <c r="F22" s="1075" t="s">
        <v>88</v>
      </c>
      <c r="G22" s="1075" t="s">
        <v>87</v>
      </c>
      <c r="H22" s="1074"/>
      <c r="I22" s="1074" t="s">
        <v>182</v>
      </c>
      <c r="J22" s="1074" t="s">
        <v>287</v>
      </c>
      <c r="K22" s="1074" t="s">
        <v>446</v>
      </c>
      <c r="L22" s="1074" t="s">
        <v>445</v>
      </c>
    </row>
    <row r="23" spans="1:12" s="1070" customFormat="1" ht="42" customHeight="1">
      <c r="A23" s="1073" t="s">
        <v>224</v>
      </c>
      <c r="B23" s="1072" t="s">
        <v>224</v>
      </c>
      <c r="C23" s="1367">
        <f>$D$2</f>
        <v>24.119999999999997</v>
      </c>
      <c r="D23" s="1368" t="str">
        <f ca="1">$D$3</f>
        <v/>
      </c>
      <c r="E23" s="1368">
        <f ca="1">$D$4</f>
        <v>44649</v>
      </c>
      <c r="F23" s="1369" t="e">
        <f ca="1">E23-D23</f>
        <v>#VALUE!</v>
      </c>
      <c r="G23" s="1071">
        <v>0.12</v>
      </c>
      <c r="H23" s="1371" t="s">
        <v>177</v>
      </c>
      <c r="I23" s="1372">
        <f>G23*C23</f>
        <v>2.8943999999999996</v>
      </c>
      <c r="J23" s="1373" t="e">
        <f ca="1">I23/365*F23</f>
        <v>#VALUE!</v>
      </c>
      <c r="K23" s="1373">
        <v>40</v>
      </c>
      <c r="L23" s="1374" t="e">
        <f ca="1">J23+K23</f>
        <v>#VALUE!</v>
      </c>
    </row>
    <row r="24" spans="1:12" s="1068" customFormat="1" ht="12">
      <c r="A24" s="1069"/>
    </row>
    <row r="25" spans="1:12" s="1068" customFormat="1" ht="12">
      <c r="A25" s="1069"/>
    </row>
    <row r="26" spans="1:12" s="1068" customFormat="1">
      <c r="A26" s="1065"/>
    </row>
    <row r="27" spans="1:12">
      <c r="A27" s="1067"/>
    </row>
    <row r="28" spans="1:12">
      <c r="A28" s="1067"/>
    </row>
    <row r="29" spans="1:12">
      <c r="A29" s="1067"/>
    </row>
    <row r="31" spans="1:12">
      <c r="A31" s="1067"/>
    </row>
    <row r="32" spans="1:12">
      <c r="A32" s="1066"/>
    </row>
  </sheetData>
  <mergeCells count="9">
    <mergeCell ref="A21:L21"/>
    <mergeCell ref="A13:G13"/>
    <mergeCell ref="H12:H13"/>
    <mergeCell ref="A2:C2"/>
    <mergeCell ref="A3:C3"/>
    <mergeCell ref="A4:C4"/>
    <mergeCell ref="F6:H6"/>
    <mergeCell ref="F7:H7"/>
    <mergeCell ref="A17:L17"/>
  </mergeCells>
  <phoneticPr fontId="50" type="noConversion"/>
  <pageMargins left="0.75000000000000011" right="0.75000000000000011" top="0.65853658536585369" bottom="0.56707317073170727" header="0.5" footer="0.5"/>
  <pageSetup paperSize="10" scale="52" orientation="portrait" horizontalDpi="4294967292" verticalDpi="4294967292"/>
  <headerFooter alignWithMargins="0"/>
  <extLst>
    <ext xmlns:mx="http://schemas.microsoft.com/office/mac/excel/2008/main" uri="http://schemas.microsoft.com/office/mac/excel/2008/main">
      <mx:PLV Mode="1"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
  <sheetViews>
    <sheetView view="pageLayout" workbookViewId="0"/>
  </sheetViews>
  <sheetFormatPr baseColWidth="10" defaultRowHeight="18"/>
  <sheetData/>
  <phoneticPr fontId="50" type="noConversion"/>
  <pageMargins left="0.75" right="0.75" top="1" bottom="1" header="0.5" footer="0.5"/>
  <pageSetup paperSize="10" orientation="portrait" horizontalDpi="4294967292" verticalDpi="4294967292"/>
  <extLst>
    <ext xmlns:mx="http://schemas.microsoft.com/office/mac/excel/2008/main" uri="http://schemas.microsoft.com/office/mac/excel/2008/main">
      <mx:PLV Mode="1"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42"/>
  <sheetViews>
    <sheetView showGridLines="0" view="pageLayout" zoomScale="161" zoomScaleNormal="125" zoomScalePageLayoutView="161" workbookViewId="0">
      <selection activeCell="A37" sqref="A37"/>
    </sheetView>
  </sheetViews>
  <sheetFormatPr baseColWidth="10" defaultRowHeight="18"/>
  <cols>
    <col min="1" max="1" width="6.25" customWidth="1"/>
    <col min="2" max="2" width="15.5" customWidth="1"/>
    <col min="3" max="3" width="32.75" customWidth="1"/>
    <col min="4" max="4" width="27.25" customWidth="1"/>
  </cols>
  <sheetData>
    <row r="1" spans="1:4" ht="15" customHeight="1">
      <c r="A1" s="1905" t="s">
        <v>887</v>
      </c>
      <c r="B1" s="1906"/>
      <c r="C1" s="1906"/>
      <c r="D1" s="1907"/>
    </row>
    <row r="2" spans="1:4" ht="13" customHeight="1">
      <c r="A2" s="1926" t="s">
        <v>549</v>
      </c>
      <c r="B2" s="1927"/>
      <c r="C2" s="1928"/>
      <c r="D2" s="1924" t="s">
        <v>320</v>
      </c>
    </row>
    <row r="3" spans="1:4" ht="8" customHeight="1">
      <c r="A3" s="1929"/>
      <c r="B3" s="1930"/>
      <c r="C3" s="1931"/>
      <c r="D3" s="1925"/>
    </row>
    <row r="4" spans="1:4" ht="23">
      <c r="A4" s="257" t="s">
        <v>366</v>
      </c>
      <c r="C4" s="59"/>
      <c r="D4" s="202"/>
    </row>
    <row r="5" spans="1:4" ht="20" customHeight="1">
      <c r="A5" s="1908" t="s">
        <v>1132</v>
      </c>
      <c r="B5" s="1909"/>
      <c r="C5" s="243" t="s">
        <v>240</v>
      </c>
      <c r="D5" s="199"/>
    </row>
    <row r="6" spans="1:4" ht="20" customHeight="1">
      <c r="A6" s="1910"/>
      <c r="B6" s="1911"/>
      <c r="C6" s="243" t="s">
        <v>615</v>
      </c>
      <c r="D6" s="199"/>
    </row>
    <row r="7" spans="1:4" ht="20" customHeight="1">
      <c r="A7" s="1910"/>
      <c r="B7" s="1911"/>
      <c r="C7" s="243" t="s">
        <v>350</v>
      </c>
      <c r="D7" s="199"/>
    </row>
    <row r="8" spans="1:4" ht="20" customHeight="1">
      <c r="A8" s="1912"/>
      <c r="B8" s="1913"/>
      <c r="C8" s="243" t="s">
        <v>582</v>
      </c>
      <c r="D8" s="200" t="s">
        <v>1</v>
      </c>
    </row>
    <row r="9" spans="1:4" ht="7" customHeight="1"/>
    <row r="10" spans="1:4">
      <c r="A10" s="1905" t="s">
        <v>977</v>
      </c>
      <c r="B10" s="1906"/>
      <c r="C10" s="1906"/>
      <c r="D10" s="1907"/>
    </row>
    <row r="11" spans="1:4" ht="21" customHeight="1">
      <c r="A11" s="1932" t="str">
        <f>IF(AND(A12="x",D11="non"),"Activez TVA","")</f>
        <v/>
      </c>
      <c r="B11" s="1933"/>
      <c r="C11" s="1532" t="s">
        <v>608</v>
      </c>
      <c r="D11" s="305" t="s">
        <v>0</v>
      </c>
    </row>
    <row r="12" spans="1:4" s="5" customFormat="1" ht="34" customHeight="1">
      <c r="A12" s="824"/>
      <c r="B12" s="1919" t="s">
        <v>1107</v>
      </c>
      <c r="C12" s="1920"/>
      <c r="D12" s="229" t="str">
        <f>IF(D11="oui",IF(D6="x","Avez-vous l'option?",IF(D7="x","Avez-vous l'option?","")),"")</f>
        <v/>
      </c>
    </row>
    <row r="13" spans="1:4" s="72" customFormat="1" ht="19" customHeight="1">
      <c r="A13" s="1916" t="s">
        <v>61</v>
      </c>
      <c r="B13" s="1917"/>
      <c r="C13" s="1917"/>
      <c r="D13" s="1918"/>
    </row>
    <row r="14" spans="1:4" s="72" customFormat="1" ht="14" customHeight="1">
      <c r="A14" s="434"/>
      <c r="B14" s="435"/>
      <c r="C14" s="435"/>
      <c r="D14" s="435"/>
    </row>
    <row r="15" spans="1:4" ht="28" customHeight="1" thickBot="1">
      <c r="A15" s="1921" t="s">
        <v>1181</v>
      </c>
      <c r="B15" s="1922"/>
      <c r="C15" s="1922"/>
      <c r="D15" s="1923"/>
    </row>
    <row r="16" spans="1:4" ht="23" customHeight="1">
      <c r="A16" s="1914" t="s">
        <v>806</v>
      </c>
      <c r="B16" s="1915"/>
      <c r="C16" s="1940" t="s">
        <v>851</v>
      </c>
      <c r="D16" s="1941"/>
    </row>
    <row r="17" spans="1:4" ht="23" customHeight="1">
      <c r="A17" s="1902" t="s">
        <v>1034</v>
      </c>
      <c r="B17" s="1903"/>
      <c r="C17" s="1938" t="s">
        <v>1075</v>
      </c>
      <c r="D17" s="1939"/>
    </row>
    <row r="18" spans="1:4" ht="23" customHeight="1">
      <c r="A18" s="1902" t="s">
        <v>874</v>
      </c>
      <c r="B18" s="1903"/>
      <c r="C18" s="1938" t="s">
        <v>801</v>
      </c>
      <c r="D18" s="1939"/>
    </row>
    <row r="19" spans="1:4" ht="23" customHeight="1">
      <c r="A19" s="1902" t="s">
        <v>288</v>
      </c>
      <c r="B19" s="1903"/>
      <c r="C19" s="1938" t="s">
        <v>58</v>
      </c>
      <c r="D19" s="1939"/>
    </row>
    <row r="20" spans="1:4" ht="23" customHeight="1">
      <c r="A20" s="1902" t="s">
        <v>720</v>
      </c>
      <c r="B20" s="1903"/>
      <c r="C20" s="225" t="s">
        <v>609</v>
      </c>
      <c r="D20" s="226"/>
    </row>
    <row r="21" spans="1:4" s="5" customFormat="1" ht="23" customHeight="1">
      <c r="A21" s="1902" t="s">
        <v>511</v>
      </c>
      <c r="B21" s="1904"/>
      <c r="C21" s="5" t="s">
        <v>733</v>
      </c>
      <c r="D21" s="292"/>
    </row>
    <row r="22" spans="1:4" ht="28" customHeight="1">
      <c r="A22" s="1902" t="s">
        <v>697</v>
      </c>
      <c r="B22" s="1903"/>
      <c r="C22" s="266" t="s">
        <v>427</v>
      </c>
      <c r="D22" s="240" t="s">
        <v>1019</v>
      </c>
    </row>
    <row r="23" spans="1:4" ht="23" customHeight="1">
      <c r="A23" s="1902" t="s">
        <v>56</v>
      </c>
      <c r="B23" s="1903"/>
      <c r="C23" s="267" t="s">
        <v>399</v>
      </c>
      <c r="D23" s="241" t="s">
        <v>268</v>
      </c>
    </row>
    <row r="24" spans="1:4" ht="23" customHeight="1">
      <c r="A24" s="1946" t="s">
        <v>1176</v>
      </c>
      <c r="B24" s="1903"/>
      <c r="C24" s="266" t="s">
        <v>848</v>
      </c>
      <c r="D24" s="242" t="s">
        <v>568</v>
      </c>
    </row>
    <row r="25" spans="1:4" ht="23" customHeight="1">
      <c r="A25" s="1952" t="s">
        <v>1125</v>
      </c>
      <c r="B25" s="1953"/>
      <c r="C25" s="323" t="s">
        <v>995</v>
      </c>
      <c r="D25" s="324" t="s">
        <v>336</v>
      </c>
    </row>
    <row r="26" spans="1:4" ht="13" customHeight="1">
      <c r="A26" s="430"/>
      <c r="B26" s="431"/>
      <c r="C26" s="432"/>
      <c r="D26" s="433"/>
    </row>
    <row r="27" spans="1:4" ht="23" customHeight="1">
      <c r="A27" s="1947" t="s">
        <v>152</v>
      </c>
      <c r="B27" s="1948"/>
      <c r="C27" s="325"/>
      <c r="D27" s="326" t="s">
        <v>463</v>
      </c>
    </row>
    <row r="28" spans="1:4" ht="20" customHeight="1">
      <c r="A28" s="100"/>
      <c r="B28" s="368"/>
      <c r="C28" s="428" t="s">
        <v>319</v>
      </c>
      <c r="D28" s="429" t="s">
        <v>219</v>
      </c>
    </row>
    <row r="29" spans="1:4" ht="26" customHeight="1">
      <c r="A29" s="1934" t="s">
        <v>375</v>
      </c>
      <c r="B29" s="1935"/>
      <c r="C29" s="325"/>
      <c r="D29" s="326"/>
    </row>
    <row r="30" spans="1:4" ht="9" customHeight="1"/>
    <row r="31" spans="1:4" ht="17" customHeight="1">
      <c r="A31" s="1955" t="s">
        <v>548</v>
      </c>
      <c r="B31" s="1956"/>
      <c r="C31" s="1957"/>
      <c r="D31" s="215">
        <v>30</v>
      </c>
    </row>
    <row r="32" spans="1:4" ht="17" customHeight="1">
      <c r="A32" s="1949" t="s">
        <v>1141</v>
      </c>
      <c r="B32" s="1950"/>
      <c r="C32" s="1951"/>
      <c r="D32" s="216">
        <v>0.2</v>
      </c>
    </row>
    <row r="33" spans="1:4" ht="17" customHeight="1">
      <c r="A33" s="1958" t="s">
        <v>792</v>
      </c>
      <c r="B33" s="1959"/>
      <c r="C33" s="1960"/>
      <c r="D33" s="215">
        <v>30</v>
      </c>
    </row>
    <row r="34" spans="1:4" s="5" customFormat="1" ht="19" customHeight="1" thickBot="1">
      <c r="A34" s="926"/>
      <c r="B34" s="1945" t="s">
        <v>529</v>
      </c>
      <c r="C34" s="1945"/>
      <c r="D34" s="1945"/>
    </row>
    <row r="35" spans="1:4" ht="23" customHeight="1" thickBot="1">
      <c r="A35" s="218"/>
      <c r="B35" s="1942" t="s">
        <v>780</v>
      </c>
      <c r="C35" s="1943"/>
      <c r="D35" s="1944"/>
    </row>
    <row r="36" spans="1:4" s="327" customFormat="1" ht="33" customHeight="1" thickBot="1">
      <c r="A36" s="421"/>
      <c r="B36" s="1936" t="s">
        <v>1124</v>
      </c>
      <c r="C36" s="1937"/>
      <c r="D36" s="1937"/>
    </row>
    <row r="37" spans="1:4" ht="21" customHeight="1" thickBot="1">
      <c r="A37" s="217"/>
      <c r="B37" s="1964" t="s">
        <v>592</v>
      </c>
      <c r="C37" s="1965"/>
      <c r="D37" s="1965"/>
    </row>
    <row r="38" spans="1:4" ht="21" customHeight="1" thickBot="1">
      <c r="A38" s="217"/>
      <c r="B38" s="1964" t="s">
        <v>936</v>
      </c>
      <c r="C38" s="1965"/>
      <c r="D38" s="1965"/>
    </row>
    <row r="39" spans="1:4" ht="7" customHeight="1"/>
    <row r="40" spans="1:4" ht="22" customHeight="1">
      <c r="A40" s="1961" t="s">
        <v>271</v>
      </c>
      <c r="B40" s="1962"/>
      <c r="C40" s="1963"/>
      <c r="D40" s="523">
        <v>0</v>
      </c>
    </row>
    <row r="41" spans="1:4" s="36" customFormat="1" ht="19" customHeight="1">
      <c r="A41" s="512"/>
      <c r="B41" s="512"/>
      <c r="C41" s="512"/>
      <c r="D41" s="517" t="s">
        <v>699</v>
      </c>
    </row>
    <row r="42" spans="1:4" s="72" customFormat="1" ht="19" customHeight="1">
      <c r="A42" s="1954"/>
      <c r="B42" s="1954"/>
      <c r="C42" s="1954"/>
      <c r="D42" s="1954"/>
    </row>
  </sheetData>
  <dataConsolidate/>
  <mergeCells count="35">
    <mergeCell ref="A42:D42"/>
    <mergeCell ref="A31:C31"/>
    <mergeCell ref="A33:C33"/>
    <mergeCell ref="A40:C40"/>
    <mergeCell ref="B37:D37"/>
    <mergeCell ref="B38:D38"/>
    <mergeCell ref="A29:B29"/>
    <mergeCell ref="B36:D36"/>
    <mergeCell ref="C17:D17"/>
    <mergeCell ref="C16:D16"/>
    <mergeCell ref="B35:D35"/>
    <mergeCell ref="B34:D34"/>
    <mergeCell ref="A24:B24"/>
    <mergeCell ref="A27:B27"/>
    <mergeCell ref="A32:C32"/>
    <mergeCell ref="A23:B23"/>
    <mergeCell ref="A25:B25"/>
    <mergeCell ref="C18:D18"/>
    <mergeCell ref="C19:D19"/>
    <mergeCell ref="A17:B17"/>
    <mergeCell ref="A22:B22"/>
    <mergeCell ref="A18:B18"/>
    <mergeCell ref="A19:B19"/>
    <mergeCell ref="A20:B20"/>
    <mergeCell ref="A21:B21"/>
    <mergeCell ref="A1:D1"/>
    <mergeCell ref="A5:B8"/>
    <mergeCell ref="A10:D10"/>
    <mergeCell ref="A16:B16"/>
    <mergeCell ref="A13:D13"/>
    <mergeCell ref="B12:C12"/>
    <mergeCell ref="A15:D15"/>
    <mergeCell ref="D2:D3"/>
    <mergeCell ref="A2:C3"/>
    <mergeCell ref="A11:B11"/>
  </mergeCells>
  <phoneticPr fontId="50" type="noConversion"/>
  <conditionalFormatting sqref="D5:D8">
    <cfRule type="cellIs" dxfId="96" priority="0" stopIfTrue="1" operator="equal">
      <formula>"x"</formula>
    </cfRule>
  </conditionalFormatting>
  <conditionalFormatting sqref="D12">
    <cfRule type="cellIs" dxfId="95" priority="1" stopIfTrue="1" operator="equal">
      <formula>"Avez-vous l'option?"</formula>
    </cfRule>
  </conditionalFormatting>
  <pageMargins left="0.74" right="0.66" top="0.47" bottom="0.38" header="0.38" footer="0.32"/>
  <pageSetup paperSize="10" scale="75" orientation="portrait" horizontalDpi="4294967292" verticalDpi="4294967292"/>
  <drawing r:id="rId1"/>
  <legacyDrawing r:id="rId2"/>
  <extLst>
    <ext xmlns:mx="http://schemas.microsoft.com/office/mac/excel/2008/main" uri="http://schemas.microsoft.com/office/mac/excel/2008/main">
      <mx:PLV Mode="1"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19"/>
  <sheetViews>
    <sheetView showGridLines="0" showRuler="0" view="pageLayout" topLeftCell="A16" zoomScale="73" zoomScalePageLayoutView="73" workbookViewId="0">
      <selection activeCell="A44" sqref="A44"/>
    </sheetView>
  </sheetViews>
  <sheetFormatPr baseColWidth="10" defaultRowHeight="12"/>
  <cols>
    <col min="1" max="1" width="53.625" style="23" customWidth="1"/>
    <col min="2" max="2" width="80.125" style="23" customWidth="1"/>
    <col min="3" max="3" width="26.375" style="23" customWidth="1"/>
    <col min="4" max="4" width="24.625" style="23" customWidth="1"/>
    <col min="5" max="5" width="26.5" style="23" customWidth="1"/>
    <col min="6" max="6" width="6.375" style="23" customWidth="1"/>
    <col min="7" max="16384" width="10.625" style="23"/>
  </cols>
  <sheetData>
    <row r="1" spans="1:6" ht="33" customHeight="1">
      <c r="A1" s="655" t="str">
        <f>CONCATENATE('Votre profil'!C16," ",'Votre profil'!C17)</f>
        <v>Leo PERATEUR</v>
      </c>
      <c r="D1" s="1741" t="s">
        <v>528</v>
      </c>
      <c r="E1" s="210" t="str">
        <f>'Votre profil'!C22</f>
        <v>000 000 000 00000</v>
      </c>
    </row>
    <row r="2" spans="1:6" s="31" customFormat="1" ht="23" customHeight="1">
      <c r="A2" s="544" t="str">
        <f>IF('Votre profil'!D5="x",'Votre profil'!C5,IF('Votre profil'!D6="x",'Votre profil'!C6,IF('Votre profil'!D8="x",'Votre profil'!C8,IF('Votre profil'!D7="x",'Votre profil'!C7,""))))</f>
        <v>Auteur - Photographe</v>
      </c>
      <c r="D2" s="1742" t="s">
        <v>34</v>
      </c>
      <c r="E2" s="1743" t="str">
        <f>'Votre profil'!C23</f>
        <v>FR00 000 000 000</v>
      </c>
    </row>
    <row r="3" spans="1:6" s="31" customFormat="1" ht="23" customHeight="1">
      <c r="A3" s="1740" t="str">
        <f>'Votre profil'!C18</f>
        <v>25 rue parissi</v>
      </c>
      <c r="B3" s="76"/>
      <c r="D3" s="1744" t="str">
        <f>IF('Votre profil'!D5="x",'Votre profil'!A25,IF('Votre profil'!D6="x",'Votre profil'!A25,IF('Votre profil'!D8="x",'Votre profil'!A24,"")))</f>
        <v>N° Sécurité Sociale</v>
      </c>
      <c r="E3" s="1745" t="str">
        <f>IF('Votre profil'!D5="x",'Votre profil'!C25,IF('Votre profil'!D6="x",'Votre profil'!C25,IF('Votre profil'!D8="x",'Votre profil'!C24,"")))</f>
        <v>0 00 00 00 00 000</v>
      </c>
    </row>
    <row r="4" spans="1:6" s="31" customFormat="1" ht="23" customHeight="1">
      <c r="A4" s="1740" t="str">
        <f>'Votre profil'!C19</f>
        <v>75018 PARLABA</v>
      </c>
      <c r="B4" s="76"/>
      <c r="C4" s="519"/>
      <c r="D4" s="1969" t="str">
        <f>IF('Votre profil'!D8="x","Soumis au régime de sécurité sociale des auteurs","")</f>
        <v>Soumis au régime de sécurité sociale des auteurs</v>
      </c>
      <c r="E4" s="1970"/>
    </row>
    <row r="5" spans="1:6" s="31" customFormat="1" ht="23" customHeight="1">
      <c r="A5" s="1730" t="str">
        <f>"Tél: "&amp;'Votre profil'!C20</f>
        <v>Tél: 06 80 85 81 08</v>
      </c>
      <c r="B5" s="76"/>
      <c r="C5" s="76"/>
      <c r="D5" s="1746" t="s">
        <v>35</v>
      </c>
      <c r="E5" s="1747" t="str">
        <f>IF('Votre profil'!D11="oui", "Acquitée sur les encaissements","Franchise")</f>
        <v>Franchise</v>
      </c>
    </row>
    <row r="6" spans="1:6" s="31" customFormat="1" ht="23" customHeight="1">
      <c r="A6" s="1731" t="str">
        <f>"Email: "&amp;'Votre profil'!C21</f>
        <v xml:space="preserve">Email: ….@... </v>
      </c>
      <c r="B6" s="518"/>
      <c r="C6" s="543" t="str">
        <f>IF('Votre profil'!C29="","","RC pro.")</f>
        <v/>
      </c>
      <c r="D6" s="542" t="str">
        <f>IF(C6="","",'Votre profil'!C29)</f>
        <v/>
      </c>
      <c r="E6" s="327" t="str">
        <f>IF(C6="","","N° "&amp;'Votre profil'!D29)</f>
        <v/>
      </c>
      <c r="F6" s="300"/>
    </row>
    <row r="7" spans="1:6" ht="6" customHeight="1" thickBot="1">
      <c r="A7" s="653"/>
      <c r="B7" s="302"/>
      <c r="C7" s="301"/>
      <c r="D7" s="301"/>
      <c r="E7" s="301"/>
      <c r="F7" s="30"/>
    </row>
    <row r="8" spans="1:6" ht="19" customHeight="1">
      <c r="C8" s="372" t="str">
        <f>IF('Votre profil'!A35="x","Adresse de facturation","")</f>
        <v/>
      </c>
    </row>
    <row r="9" spans="1:6" ht="27" customHeight="1">
      <c r="A9" s="1733" t="str">
        <f>IF('Votre profil'!A35="","DEVIS N°",IF('Votre profil'!A35="x",IF('Votre profil'!D8="x","FACTURE D'AUTEUR N°","FACTURE N°")))</f>
        <v>DEVIS N°</v>
      </c>
      <c r="B9" s="1734"/>
      <c r="C9" s="1971" t="s">
        <v>36</v>
      </c>
      <c r="D9" s="1972"/>
      <c r="E9" s="1735"/>
    </row>
    <row r="10" spans="1:6" ht="27" customHeight="1">
      <c r="A10" s="1736" t="str">
        <f>IF('Votre profil'!A35="","",IF('Votre profil'!D8="x","Ayant valeur de contrat de cession de droits de diffusion",""))</f>
        <v/>
      </c>
      <c r="B10" s="1735"/>
      <c r="C10" s="1973" t="str">
        <f>VLOOKUP(C9,'Base clients'!B6:I189,2,FALSE)</f>
        <v>Mr Ne-pas-suprimer</v>
      </c>
      <c r="D10" s="1973"/>
      <c r="E10" s="1735"/>
    </row>
    <row r="11" spans="1:6" ht="27" customHeight="1">
      <c r="A11" s="1737" t="s">
        <v>53</v>
      </c>
      <c r="B11" s="1738">
        <f ca="1">(TODAY())</f>
        <v>44649</v>
      </c>
      <c r="C11" s="1972" t="str">
        <f>VLOOKUP(C9,'Base clients'!B6:I189,3,FALSE)</f>
        <v>25 rue pas-toucher</v>
      </c>
      <c r="D11" s="1972"/>
      <c r="E11" s="1739"/>
    </row>
    <row r="12" spans="1:6" ht="27" customHeight="1">
      <c r="A12" s="1737" t="str">
        <f>IF('Votre profil'!A35="x","","Valable jusqu'au")</f>
        <v>Valable jusqu'au</v>
      </c>
      <c r="B12" s="1738">
        <f ca="1">IF('Votre profil'!A35="x","",B11+'Votre profil'!D33)</f>
        <v>44679</v>
      </c>
      <c r="C12" s="1748" t="str">
        <f>CONCATENATE(VLOOKUP(C9,'Base clients'!B6:H189,4,FALSE)," ",VLOOKUP(C9,'Base clients'!B6:H189,5,FALSE)," | ",VLOOKUP(C9,'Base clients'!B6:M189,12,FALSE))</f>
        <v>75000 EXEMPLE DE BASE | Pays</v>
      </c>
      <c r="D12" s="1749"/>
      <c r="E12" s="1735"/>
    </row>
    <row r="13" spans="1:6" ht="21" customHeight="1">
      <c r="A13" s="1500" t="s">
        <v>33</v>
      </c>
      <c r="B13" s="1485"/>
      <c r="C13" s="1735"/>
      <c r="D13" s="1735"/>
      <c r="E13" s="1735"/>
    </row>
    <row r="14" spans="1:6" ht="17">
      <c r="A14" s="520"/>
      <c r="B14" s="520"/>
      <c r="C14" s="1974"/>
      <c r="D14" s="1975"/>
      <c r="E14" s="1975"/>
    </row>
    <row r="15" spans="1:6" ht="17" customHeight="1">
      <c r="C15" s="571" t="str">
        <f>IF(VLOOKUP(C9,'Base clients'!B6:I101,8,FALSE)=0,"",(VLOOKUP(C9,'Base clients'!B6:I101,8,FALSE)))</f>
        <v>FR84 888 888 888 0080</v>
      </c>
      <c r="D15" s="570"/>
      <c r="E15" s="310"/>
    </row>
    <row r="16" spans="1:6" s="31" customFormat="1" ht="50" customHeight="1">
      <c r="C16" s="311"/>
      <c r="D16" s="521"/>
      <c r="E16" s="300"/>
    </row>
    <row r="17" spans="1:5" ht="25" customHeight="1">
      <c r="A17" s="1582" t="str">
        <f>IF('Votre profil'!D8="x","CONCEPTION ET RÉALISATIONS D'ŒUVRES PHOTOGRAPHIQUES ORIGINALES","PRESTATION PHOTOGRAPHIQUE ET PRODUCTION")</f>
        <v>CONCEPTION ET RÉALISATIONS D'ŒUVRES PHOTOGRAPHIQUES ORIGINALES</v>
      </c>
      <c r="B17" s="1026"/>
      <c r="C17" s="1027"/>
      <c r="D17" s="30"/>
      <c r="E17" s="30"/>
    </row>
    <row r="18" spans="1:5" ht="153" customHeight="1">
      <c r="A18" s="38"/>
      <c r="B18" s="38"/>
      <c r="C18" s="38"/>
      <c r="D18" s="38"/>
      <c r="E18" s="38"/>
    </row>
    <row r="19" spans="1:5" ht="36" customHeight="1">
      <c r="A19" s="38"/>
      <c r="B19" s="38"/>
      <c r="C19" s="38"/>
      <c r="D19" s="38"/>
      <c r="E19" s="38"/>
    </row>
    <row r="20" spans="1:5" s="31" customFormat="1" ht="21" customHeight="1">
      <c r="A20" s="1966" t="s">
        <v>1224</v>
      </c>
      <c r="B20" s="1966"/>
      <c r="C20" s="1583" t="s">
        <v>1225</v>
      </c>
      <c r="D20" s="1583" t="s">
        <v>1226</v>
      </c>
      <c r="E20" s="1584">
        <f>IF(SUM(E21:E27)=0,0,IF('Votre profil'!D11="oui","Total PdV [TVA 1]"&amp;" "&amp;ROUND(SUM(E21:E27),2)&amp;" €","Total PdV"&amp;" "&amp;ROUND(SUM(E21:E27),2)&amp;" €"))</f>
        <v>0</v>
      </c>
    </row>
    <row r="21" spans="1:5" ht="28" customHeight="1">
      <c r="A21" s="1452" t="str">
        <f>IF('Temps passé'!Q14=0,"",IF('Temps passé'!X14="x","Forfait",IF('Temps passé'!Q14=0,"",'Temps passé'!Q14&amp;" "&amp;'Temps passé'!R14&amp;" "&amp;'Temps passé'!S14)))</f>
        <v/>
      </c>
      <c r="B21" s="1497" t="str">
        <f>IF('Temps passé'!AA14&gt;0,'Temps passé'!F14&amp;" remisé de "&amp;TEXT('Temps passé'!AA14,"00%"),IF('Temps passé'!Q14=0,"",IF(A21="","",'Temps passé'!F14)))</f>
        <v/>
      </c>
      <c r="C21" s="1827" t="str">
        <f>IF('Temps passé'!AA14&gt;0,'Temps passé'!H14*(1-'Temps passé'!AA14),IF('Temps passé'!X14="x",0,IF(A21="","",'Temps passé'!H14)))</f>
        <v/>
      </c>
      <c r="D21" s="1828" t="str">
        <f>IF('Temps passé'!AA14&gt;0,'Temps passé'!I14*(1-'Temps passé'!AA14),IF('Temps passé'!X14="x",0,IF(A21="","",'Temps passé'!I14)))</f>
        <v/>
      </c>
      <c r="E21" s="1469">
        <f>IF('Temps passé'!AA14&gt;0,'Temps passé'!W14*(1-'Temps passé'!AA14),IF(A21="",0,'Temps passé'!W14))</f>
        <v>0</v>
      </c>
    </row>
    <row r="22" spans="1:5" ht="28" customHeight="1">
      <c r="A22" s="1452" t="str">
        <f>IF('Temps passé'!Q15=0,"",IF('Temps passé'!X15="x","Forfait",IF('Temps passé'!Q15=0,"",'Temps passé'!Q15&amp;" "&amp;'Temps passé'!R15&amp;" "&amp;'Temps passé'!S15)))</f>
        <v/>
      </c>
      <c r="B22" s="1497" t="str">
        <f>IF('Temps passé'!AA15&gt;0,'Temps passé'!F15&amp;" remisé de "&amp;TEXT('Temps passé'!AA15,"00%"),IF('Temps passé'!Q15=0,"",IF(A22="","",'Temps passé'!F15)))</f>
        <v/>
      </c>
      <c r="C22" s="1828" t="str">
        <f>IF('Temps passé'!AA15&gt;0,'Temps passé'!H15*(1-'Temps passé'!AA15),IF('Temps passé'!X15="x",0,IF(A22="","",'Temps passé'!H15)))</f>
        <v/>
      </c>
      <c r="D22" s="1828" t="str">
        <f>IF('Temps passé'!AA15&gt;0,'Temps passé'!I15*(1-'Temps passé'!AA15),IF('Temps passé'!X15="x",0,IF(A22="","",'Temps passé'!I15)))</f>
        <v/>
      </c>
      <c r="E22" s="1469">
        <f>IF('Temps passé'!AA15&gt;0,'Temps passé'!W15*(1-'Temps passé'!AA15),IF(A22="",0,'Temps passé'!W15))</f>
        <v>0</v>
      </c>
    </row>
    <row r="23" spans="1:5" ht="28" customHeight="1">
      <c r="A23" s="1452" t="str">
        <f>IF('Temps passé'!Q16=0,"",IF('Temps passé'!X16="x","Forfait",IF('Temps passé'!Q16=0,"",'Temps passé'!Q16&amp;"  "&amp;'Temps passé'!R16&amp;" "&amp;'Temps passé'!S16)))</f>
        <v/>
      </c>
      <c r="B23" s="1497" t="str">
        <f>IF('Temps passé'!AA16&gt;0,'Temps passé'!F16&amp;" remisé de "&amp;TEXT('Temps passé'!AA16,"00%"),IF('Temps passé'!Q16=0,"",IF(A23="","",'Temps passé'!F16)))</f>
        <v/>
      </c>
      <c r="C23" s="1828" t="str">
        <f>IF('Temps passé'!AA16&gt;0,'Temps passé'!H16*(1-'Temps passé'!AA16),IF('Temps passé'!X16="x",0,IF(A23="","",'Temps passé'!H16)))</f>
        <v/>
      </c>
      <c r="D23" s="1828" t="str">
        <f>IF('Temps passé'!AA16&gt;0,'Temps passé'!I16*(1-'Temps passé'!AA16),IF('Temps passé'!X16="x",0,IF(A23="","",'Temps passé'!I16)))</f>
        <v/>
      </c>
      <c r="E23" s="1469">
        <f>IF('Temps passé'!AA16&gt;0,'Temps passé'!W16*(1-'Temps passé'!AA16),IF(A23="",0,'Temps passé'!W16))</f>
        <v>0</v>
      </c>
    </row>
    <row r="24" spans="1:5" ht="28" customHeight="1">
      <c r="A24" s="1452" t="str">
        <f>IF('Temps passé'!Q17=0,"",IF('Temps passé'!X17="x","Forfait",IF('Temps passé'!Q17=0,"",'Temps passé'!Q17&amp;"  "&amp;'Temps passé'!R17&amp;" "&amp;'Temps passé'!S17)))</f>
        <v/>
      </c>
      <c r="B24" s="1497" t="str">
        <f>IF('Temps passé'!AA17&gt;0,'Temps passé'!F17&amp;" remisé de "&amp;TEXT('Temps passé'!AA17,"00%"),IF('Temps passé'!Q17=0,"",IF(A24="","",'Temps passé'!F17)))</f>
        <v/>
      </c>
      <c r="C24" s="1828" t="str">
        <f>IF('Temps passé'!AA17&gt;0,'Temps passé'!H17*(1-'Temps passé'!AA17),IF('Temps passé'!X17="x",0,IF(A24="","",'Temps passé'!H17)))</f>
        <v/>
      </c>
      <c r="D24" s="1828" t="str">
        <f>IF('Temps passé'!AA17&gt;0,'Temps passé'!I17*(1-'Temps passé'!AA17),IF('Temps passé'!X17="x",0,IF(A24="","",'Temps passé'!I17)))</f>
        <v/>
      </c>
      <c r="E24" s="1469">
        <f>IF('Temps passé'!AA17&gt;0,'Temps passé'!W17*(1-'Temps passé'!AA17),IF(A24="",0,'Temps passé'!W17))</f>
        <v>0</v>
      </c>
    </row>
    <row r="25" spans="1:5" s="34" customFormat="1" ht="28" customHeight="1">
      <c r="A25" s="1464" t="str">
        <f>IF('Temps passé'!Q18=0,"",IF('Temps passé'!X18="x","Forfait",IF('Temps passé'!Q18=0,"",'Temps passé'!Q18&amp;"   "&amp;'Temps passé'!R18&amp;" "&amp;'Temps passé'!S18)))</f>
        <v/>
      </c>
      <c r="B25" s="1473" t="str">
        <f>IF('Temps passé'!AA18&gt;0,'Temps passé'!F18&amp;" remisé de "&amp;TEXT('Temps passé'!AA18,"00%"),IF('Temps passé'!Q18=0,"",IF(A25="","",'Temps passé'!F18)))</f>
        <v/>
      </c>
      <c r="C25" s="1828" t="str">
        <f>IF('Temps passé'!AA18&gt;0,'Temps passé'!H18*(1-'Temps passé'!AA18),IF('Temps passé'!X18="x",0,IF(A25="","",'Temps passé'!H18)))</f>
        <v/>
      </c>
      <c r="D25" s="1828" t="str">
        <f>IF('Temps passé'!AA18&gt;0,'Temps passé'!I18*(1-'Temps passé'!AA18),IF('Temps passé'!X18="x",0,IF(A25="","",'Temps passé'!I18)))</f>
        <v/>
      </c>
      <c r="E25" s="1469">
        <f>IF('Temps passé'!AA18&gt;0,'Temps passé'!W18*(1-'Temps passé'!AA18),IF(A25="",0,'Temps passé'!W18))</f>
        <v>0</v>
      </c>
    </row>
    <row r="26" spans="1:5" s="34" customFormat="1" ht="28" customHeight="1">
      <c r="A26" s="1464" t="str">
        <f>IF('Portraits corpo &amp; catal objets'!J36=0,"",'Portraits corpo &amp; catal objets'!J36)</f>
        <v/>
      </c>
      <c r="B26" s="1473" t="str">
        <f>IF(A26="","",IF(AND(Prix_moyen___pdv&gt;0,'Portraits corpo &amp; catal objets'!M11&gt;0)," prises de vue produits avec mise en lumière détourées"," prises de vue produits avec mise en lumière non détourées"))&amp;IF(RemProd&gt;0," - remise de "&amp;TEXT(RemProd,"00%"),"")</f>
        <v/>
      </c>
      <c r="C26" s="1828">
        <f>IF(A26&gt;0,'Portraits corpo &amp; catal objets'!M39,"")</f>
        <v>0</v>
      </c>
      <c r="D26" s="1828">
        <f>IF(A26&gt;0,'Portraits corpo &amp; catal objets'!M38,"")</f>
        <v>0</v>
      </c>
      <c r="E26" s="1469">
        <f>IF(A26&gt;0,'Portraits corpo &amp; catal objets'!J35,0)</f>
        <v>0</v>
      </c>
    </row>
    <row r="27" spans="1:5" s="34" customFormat="1" ht="28" customHeight="1">
      <c r="A27" s="1499" t="str">
        <f>IF('Portraits corpo &amp; catal objets'!C50&gt;0,"Portraits corpo (Tps estimé à "&amp;'Portraits corpo &amp; catal objets'!J46&amp;" mn / pers.)","")</f>
        <v/>
      </c>
      <c r="B27" s="1473" t="str">
        <f>IF('Portraits corpo &amp; catal objets'!C50&gt;0,'Portraits corpo &amp; catal objets'!C50&amp; " Pers."&amp;" soit "&amp;'Portraits corpo &amp; catal objets'!B52&amp;" "&amp;'Portraits corpo &amp; catal objets'!C46&amp;" photo[s] livrée[s] / pers","")&amp;IF(RemPort&gt;0," - remise de "&amp;TEXT(RemPort,"00%"),"")</f>
        <v/>
      </c>
      <c r="C27" s="1826">
        <f>IF(E27=0,0,'Portraits corpo &amp; catal objets'!J56)</f>
        <v>0</v>
      </c>
      <c r="D27" s="1498">
        <f>IF(E27=0,0,'Portraits corpo &amp; catal objets'!J57)</f>
        <v>0</v>
      </c>
      <c r="E27" s="1469">
        <f>IF('Portraits corpo &amp; catal objets'!C50=0,0,'Portraits corpo &amp; catal objets'!J53)</f>
        <v>0</v>
      </c>
    </row>
    <row r="28" spans="1:5" s="31" customFormat="1" ht="21" customHeight="1">
      <c r="A28" s="1966" t="s">
        <v>1223</v>
      </c>
      <c r="B28" s="1966"/>
      <c r="C28" s="1583" t="s">
        <v>1227</v>
      </c>
      <c r="D28" s="1583" t="s">
        <v>1228</v>
      </c>
      <c r="E28" s="1585">
        <f>IF(SUM(E29:E31)=0,0,IF('Votre profil'!D11="oui","Total Ret. [TVA 1]"&amp;" "&amp;ROUND(SUM(E29:E31),2)&amp;" €","Total Ret."&amp;" "&amp;ROUND(SUM(E29:E31),2)&amp;" €"))</f>
        <v>0</v>
      </c>
    </row>
    <row r="29" spans="1:5" s="31" customFormat="1" ht="28" customHeight="1">
      <c r="A29" s="1459" t="str">
        <f>'Temps passé'!F23</f>
        <v xml:space="preserve">Détourage </v>
      </c>
      <c r="B29" s="1489" t="str">
        <f>IF('Temps passé'!S23&gt;0,"Prestation facturée à l'heure","")</f>
        <v/>
      </c>
      <c r="C29" s="1490" t="str">
        <f>IF('Temps passé'!S23=0,"",'Temps passé'!Q23)</f>
        <v/>
      </c>
      <c r="D29" s="1491" t="str">
        <f>IF('Temps passé'!S23=0,"",'Temps passé'!S23)</f>
        <v/>
      </c>
      <c r="E29" s="1492">
        <f>IF('Temps passé'!W23=0,0,'Temps passé'!W23)</f>
        <v>0</v>
      </c>
    </row>
    <row r="30" spans="1:5" s="31" customFormat="1" ht="28" customHeight="1">
      <c r="A30" s="1459" t="str">
        <f>'Temps passé'!F24</f>
        <v>Retouche / Modification de l'image</v>
      </c>
      <c r="B30" s="1489" t="str">
        <f>IF('Temps passé'!S24&gt;0,"Prestation facturée à l'heure","")</f>
        <v/>
      </c>
      <c r="C30" s="1493" t="str">
        <f>IF('Temps passé'!S24=0,"",'Temps passé'!Q24)</f>
        <v/>
      </c>
      <c r="D30" s="1494" t="str">
        <f>IF('Temps passé'!S24=0,"",'Temps passé'!S24)</f>
        <v/>
      </c>
      <c r="E30" s="1495">
        <f>IF('Temps passé'!W24=0,0,'Temps passé'!W24)</f>
        <v>0</v>
      </c>
    </row>
    <row r="31" spans="1:5" s="31" customFormat="1" ht="28" customHeight="1">
      <c r="A31" s="1459" t="str">
        <f>'Temps passé'!F25</f>
        <v>Retouche créative</v>
      </c>
      <c r="B31" s="1489" t="str">
        <f>IF('Temps passé'!S25&gt;0,"Prestation facturée à l'heure","")</f>
        <v/>
      </c>
      <c r="C31" s="1496" t="str">
        <f>IF('Temps passé'!S25=0,"",'Temps passé'!Q25)</f>
        <v/>
      </c>
      <c r="D31" s="1494" t="str">
        <f>IF('Temps passé'!S25=0,"",'Temps passé'!S25)</f>
        <v/>
      </c>
      <c r="E31" s="1460">
        <f>IF('Temps passé'!W25=0,0,'Temps passé'!W25)</f>
        <v>0</v>
      </c>
    </row>
    <row r="32" spans="1:5" s="31" customFormat="1" ht="21" customHeight="1">
      <c r="A32" s="1966" t="s">
        <v>1222</v>
      </c>
      <c r="B32" s="1966"/>
      <c r="C32" s="1583"/>
      <c r="D32" s="1583" t="s">
        <v>1127</v>
      </c>
      <c r="E32" s="1584">
        <f>IF(SUM(E33:E43)=0,0,IF('Votre profil'!D11="oui","Total Droits [TVA 1]"&amp;" "&amp;ROUND(SUM(E33:E43),2)&amp;" €","Total Droits"&amp;" "&amp;ROUND(SUM(E33:E43),2)&amp;" €"))</f>
        <v>0</v>
      </c>
    </row>
    <row r="33" spans="1:6" s="31" customFormat="1" ht="28" customHeight="1">
      <c r="A33" s="1477" t="str">
        <f>'Droits print &amp; expo '!C11&amp;" - N'inclus ni les objets promo ni les PLV"&amp; IF(DPrint=0,"",IF('Droits print &amp; expo '!Q13&gt;0," - Remisé de "&amp;TEXT('Droits print &amp; expo '!Q13,"00%"),IF('Droits print &amp; expo '!R11="x"," - Offerts pour "&amp;DPrint&amp; " €","")))</f>
        <v>Diffusion print de base (voir CGV) - N'inclus ni les objets promo ni les PLV</v>
      </c>
      <c r="B33" s="1478"/>
      <c r="C33" s="1479" t="str">
        <f>IF(DPrint=0,"non cédés",IF(DPrint&gt;0,'Droits print &amp; expo '!P7))</f>
        <v>non cédés</v>
      </c>
      <c r="D33" s="1480" t="str">
        <f>IF('Droits print &amp; expo '!P6&lt;&gt;"",'Droits print &amp; expo '!P6,"")</f>
        <v/>
      </c>
      <c r="E33" s="1481">
        <f>IF('Droits print &amp; expo '!R11="x",0,'Droits print &amp; expo '!P11)</f>
        <v>0</v>
      </c>
    </row>
    <row r="34" spans="1:6" s="31" customFormat="1" ht="28" customHeight="1">
      <c r="A34" s="1477" t="str">
        <f>IF(DExpo=0,"Droits d'exposition pour évènements temporaires, salons ... ",IF('Droits print &amp; expo '!Q25&gt;0,"Droit d'exposition pour évènements temporaires remisé de "&amp;TEXT('Droits print &amp; expo '!Q25,"00%"),IF('Droits print &amp; expo '!R24="x","Droit  exposition pour évènements temporaires offert pour un montant de "&amp;DExpo&amp;" €","Droit d'expositon pour évènements temporaires")))</f>
        <v xml:space="preserve">Droits d'exposition pour évènements temporaires, salons ... </v>
      </c>
      <c r="B34" s="1459"/>
      <c r="C34" s="1482" t="str">
        <f>IF('Droits print &amp; expo '!O26=1,"1 photo",IF(DExpo&gt;0,'Droits print &amp; expo '!O26&amp;" photo[s]",IF('Droits print &amp; expo '!J30="x",'Droits print &amp; expo '!O26&amp;" photo[s]",IF(L35=0,"non cédés",""))))</f>
        <v>non cédés</v>
      </c>
      <c r="D34" s="1470" t="str">
        <f>IF(DExpo&gt;0,'Droits print &amp; expo '!P20,IF('Droits print &amp; expo '!J30="x","permanente",""))</f>
        <v/>
      </c>
      <c r="E34" s="1483">
        <f>IF('Droits print &amp; expo '!R24="x",0,IF(DExpo&gt;0,DExpo,IF('Droits print &amp; expo '!J30="x",'Droits print &amp; expo '!P30,0)))</f>
        <v>0</v>
      </c>
    </row>
    <row r="35" spans="1:6" s="31" customFormat="1" ht="28" customHeight="1">
      <c r="A35" s="1477" t="str">
        <f>IF('Droits print &amp; expo '!J30=0,"",IF('Droits print &amp; expo '!J30&gt;0,"Droit d'exposition cédés à titre permanent pour "&amp;'Droits print &amp; expo '!J30&amp;" photographies dans les locaux de l'entreprise exclusivement"))</f>
        <v/>
      </c>
      <c r="B35" s="1459"/>
      <c r="C35" s="1482"/>
      <c r="D35" s="1470"/>
      <c r="E35" s="1483">
        <f>IF('Droits print &amp; expo '!J30&gt;0,'Droits print &amp; expo '!P30,0)</f>
        <v>0</v>
      </c>
    </row>
    <row r="36" spans="1:6" s="31" customFormat="1" ht="28" customHeight="1">
      <c r="A36" s="1967" t="str">
        <f>"Web et réseaux soc."&amp;" fréquentation "&amp;'Droit web photo video'!K20&amp;" - "&amp;'Droit web photo video'!L21&amp;IF('Droit web photo video'!H26="x"," - Pour "&amp;'Droit web photo video'!G26&amp;" € offerts",IF('Droit web photo video'!E25&gt;0," - Remise de "&amp;TEXT('Droit web photo video'!F17,"00%")&amp;" but non lucratif",""))</f>
        <v>Web et réseaux soc. fréquentation  - Sur site du client</v>
      </c>
      <c r="B36" s="1968"/>
      <c r="C36" s="1470" t="str">
        <f>IF('Droit web photo video'!G26=0,"non cédés",IF('Droit web photo video'!I27&gt;0,'Droit web photo video'!I20&amp;" - "&amp;TEXT('Droit web photo video'!I27,"00%"),'Droit web photo video'!I20))</f>
        <v>non cédés</v>
      </c>
      <c r="D36" s="1484" t="str">
        <f>'Droit web photo video'!J20</f>
        <v/>
      </c>
      <c r="E36" s="1469">
        <f>IF('Droit web photo video'!H26="x",0,'Droit web photo video'!G26)</f>
        <v>0</v>
      </c>
    </row>
    <row r="37" spans="1:6" s="31" customFormat="1" ht="28" customHeight="1">
      <c r="A37" s="1459" t="str">
        <f>'Droit web photo video'!B34</f>
        <v>Diffusions web sur bandeaux publicitaires avec achat d'espace</v>
      </c>
      <c r="B37" s="1477"/>
      <c r="C37" s="1470" t="str">
        <f>IF('Droit web photo video'!J34=0,"non cédés",TEXT('Droit web photo video'!I34,"0%")&amp;" achat d'espace")</f>
        <v>non cédés</v>
      </c>
      <c r="D37" s="1484" t="str">
        <f>IF('Droit web photo video'!J34=0,"","tel contrat pub")</f>
        <v/>
      </c>
      <c r="E37" s="1469">
        <f>'Droit web photo video'!J34</f>
        <v>0</v>
      </c>
    </row>
    <row r="38" spans="1:6" s="31" customFormat="1" ht="28" customHeight="1">
      <c r="A38" s="1968" t="str">
        <f>IF('Droit web photo video'!P23&gt;0,"Droit video Web"&amp;" fréquentation "&amp;'Droit web photo video'!R20&amp;" "&amp;'Droit web photo video'!S20&amp;" "&amp;'Droit web photo video'!S21,"")&amp;IF('Droit web photo video'!H30="x"," - Pour "&amp;'Droit web photo video'!G30&amp;" € offerts",IF('Droit web photo video'!E29&gt;0," - Remisé de "&amp;TEXT('Droit web photo video'!N17,"00%")&amp;" but non lucratif",""))</f>
        <v/>
      </c>
      <c r="B38" s="1968"/>
      <c r="C38" s="1470" t="str">
        <f>IF('Droit web photo video'!G30=0,"",IF('Droit web photo video'!I31&gt;0,'Droit web photo video'!P20&amp;" - "&amp;TEXT('Droit web photo video'!I31,"00%"),'Droit web photo video'!P20))</f>
        <v/>
      </c>
      <c r="D38" s="1484" t="str">
        <f>IF('Droit web photo video'!G30&gt;0,'Droit web photo video'!Q20,"")</f>
        <v/>
      </c>
      <c r="E38" s="1469">
        <f>IF('Droit web photo video'!H30="x",0,'Droit web photo video'!G30)</f>
        <v>0</v>
      </c>
    </row>
    <row r="39" spans="1:6" s="31" customFormat="1" ht="28" customHeight="1">
      <c r="A39" s="1477" t="str">
        <f>IF('Droit web photo video'!Q26&gt;0,"Droits Vidéo ( "&amp;'Droit web photo video'!L30&amp;" œuvre[s] prééxistante[s]) de " &amp;'Droit web photo video'!Q26&amp;" secondes dans le cadre exclusif du projet défini en référence","")</f>
        <v/>
      </c>
      <c r="B39" s="1477"/>
      <c r="C39" s="1470">
        <f>'Droit web photo video'!Q27</f>
        <v>0</v>
      </c>
      <c r="D39" s="1484"/>
      <c r="E39" s="1469">
        <f>'Droit web photo video'!L31</f>
        <v>0</v>
      </c>
    </row>
    <row r="40" spans="1:6" s="31" customFormat="1" ht="28" customHeight="1">
      <c r="A40" s="1485" t="s">
        <v>1239</v>
      </c>
      <c r="B40" s="1485" t="str">
        <f>IF('Droit dossier de presse'!L26&gt;0,"Pour "&amp;'Droit dossier de presse'!G26&amp;" photo[s] dans "&amp;'Droit dossier de presse'!N22&amp;" dossiers de presse","")</f>
        <v/>
      </c>
      <c r="C40" s="1486" t="str">
        <f>IF('Droit dossier de presse'!L26=0,"non cédés",IF('Droit dossier de presse'!A27="x","remisé de "&amp;TEXT('Droit dossier de presse'!G27,"00%"),""))</f>
        <v>non cédés</v>
      </c>
      <c r="D40" s="1487" t="str">
        <f>IF('Droit dossier de presse'!L26&gt;0,"6 mois","")</f>
        <v/>
      </c>
      <c r="E40" s="1469">
        <f>IF('Droit dossier de presse'!A27="x",'Droit dossier de presse'!L27,IF('Droit dossier de presse'!L26&gt;0,'Droit dossier de presse'!L26,0))</f>
        <v>0</v>
      </c>
    </row>
    <row r="41" spans="1:6" s="31" customFormat="1" ht="28" customHeight="1">
      <c r="A41" s="1485" t="str">
        <f>IF('Droits commande publicité'!V31="x",'Droits commande publicité'!I31&amp; " offerts pour "&amp;'Droits commande publicité'!U31&amp;" €",IF(E41=0,"",'Droits commande publicité'!I31&amp;" Pour "&amp;'Droits commande publicité'!AF31&amp;" photo[s] en France et Europe pour un tirage de "&amp;'Droits commande publicité'!C3&amp; " ex."))</f>
        <v/>
      </c>
      <c r="B41" s="1473"/>
      <c r="C41" s="1487" t="str">
        <f>IF('Droits commande publicité'!V31="x","Forfait",IF(E41=0,"",IF('Droits commande publicité'!W31=0,"Forfait"," Forfait remisé de "&amp;TEXT('Droits commande publicité'!W31,"00%"))))</f>
        <v/>
      </c>
      <c r="D41" s="1487" t="str">
        <f>IF('Droits commande publicité'!V31="x",'Droits commande publicité'!V3,IF(E41=0,"",'Droits commande publicité'!V3))</f>
        <v/>
      </c>
      <c r="E41" s="1469">
        <f>IF('Droits commande publicité'!X31&gt;0,'Droits commande publicité'!X31,0)</f>
        <v>0</v>
      </c>
    </row>
    <row r="42" spans="1:6" s="31" customFormat="1" ht="28" customHeight="1">
      <c r="A42" s="1485" t="str">
        <f>IF('Droits commande publicité'!V32="x",'Droits commande publicité'!I32&amp; " offerts pour "&amp;'Droits commande publicité'!U32&amp;" €",IF(E42=0,"",'Droits commande publicité'!I32&amp;" - Pour "&amp;'Droits commande publicité'!AF32&amp;" visuel[s]"&amp;" - "&amp;'Droits commande publicité'!A30+'Droits commande publicité'!A72&amp;" emplacements en France et Europe"))</f>
        <v/>
      </c>
      <c r="B42" s="1473"/>
      <c r="C42" s="1487" t="str">
        <f>IF('Droits commande publicité'!V32="x","Forfait",IF(E42=0,"",IF('Droits commande publicité'!W32=0,"Forfait"," Forfait remisé de "&amp;TEXT('Droits commande publicité'!W32,"00%"))))</f>
        <v/>
      </c>
      <c r="D42" s="1487" t="str">
        <f>IF('Droits commande publicité'!V32="x","sur une base de "&amp;'Droits commande publicité'!B72 &amp;" jours",IF(E42=0,"","pour "&amp;'Droits commande publicité'!B72+'Droits commande publicité'!B30 &amp;" jours"))</f>
        <v/>
      </c>
      <c r="E42" s="1469">
        <f>IF('Droits commande publicité'!X32&gt;0,'Droits commande publicité'!X32,0)</f>
        <v>0</v>
      </c>
    </row>
    <row r="43" spans="1:6" s="31" customFormat="1" ht="28" customHeight="1">
      <c r="A43" s="1485" t="str">
        <f>IF('Droits commande publicité'!V48="x",'Droits commande publicité'!I48&amp;" offerts pour "&amp;'Droits commande publicité'!U48&amp;" €",IF(E43=0,"",'Droits commande publicité'!I48&amp;" France / UE - "&amp;'Droits commande publicité'!AF48&amp;" photo[s] "&amp;'Droits commande publicité'!Q50&amp;" (Ft moyen) "&amp;'Droits commande publicité'!C50+'Droits commande publicité'!C96+'Droits commande publicité'!C118&amp; " ex."))</f>
        <v/>
      </c>
      <c r="B43" s="1488"/>
      <c r="C43" s="1487" t="str">
        <f>IF('Droits commande publicité'!V39="x","Forfait",IF(E43=0,"",IF('Droits commande publicité'!W48=0,"Forfait"," Forfait remisé de "&amp;TEXT('Droits commande publicité'!W48,"00%"))))</f>
        <v/>
      </c>
      <c r="D43" s="1487" t="str">
        <f>IF('Droits commande publicité'!V48="x",'Droits commande publicité'!V4,IF(E43=0,"",'Droits commande publicité'!V4))</f>
        <v/>
      </c>
      <c r="E43" s="1469">
        <f>IF('Droits commande publicité'!X48&gt;0,'Droits commande publicité'!X48,0)</f>
        <v>0</v>
      </c>
    </row>
    <row r="44" spans="1:6" s="31" customFormat="1" ht="25" customHeight="1">
      <c r="A44" s="1485" t="str">
        <f>IF('Droits commande publicité'!Y51="x","Droits additionnels pour les pays autres que l'Europe (US, Canada,Japon, Nelle Zélande, Australie)","")</f>
        <v/>
      </c>
      <c r="B44" s="1488"/>
      <c r="C44" s="1487" t="str">
        <f>IF('Droits commande publicité'!Y51="x"," Forfait","")</f>
        <v/>
      </c>
      <c r="D44" s="1482" t="str">
        <f>IF('Droits commande publicité'!Y51="x"," Idem durée France","")</f>
        <v/>
      </c>
      <c r="E44" s="1469">
        <f>IF('Droits commande publicité'!Y51="x",SUM('Droits commande publicité'!AC31:AC48),0)</f>
        <v>0</v>
      </c>
    </row>
    <row r="45" spans="1:6" s="31" customFormat="1" ht="26" customHeight="1">
      <c r="A45" s="1127" t="str">
        <f>IF(SUM(E41:E44)&gt;0,"Droits d'utilisation calculés sur la base du barème officiel des œuvres de commande en publicité","")</f>
        <v/>
      </c>
      <c r="B45" s="1100"/>
      <c r="C45" s="1102"/>
      <c r="D45" s="1103"/>
      <c r="E45" s="1099"/>
    </row>
    <row r="46" spans="1:6" s="31" customFormat="1" ht="33" customHeight="1">
      <c r="A46" s="1732" t="str">
        <f>IF(E46=0,"",'Droit packaging'!A27 &amp; 'Droit packaging'!C36)</f>
        <v/>
      </c>
      <c r="B46" s="1100"/>
      <c r="C46" s="1102"/>
      <c r="D46" s="1103"/>
      <c r="E46" s="1099">
        <f>IF('Droit packaging'!G36=0,'Droit packaging'!L27,'Droit packaging'!G36)</f>
        <v>0</v>
      </c>
    </row>
    <row r="47" spans="1:6" s="31" customFormat="1" ht="28" customHeight="1">
      <c r="A47" s="1966" t="str">
        <f>IF('Votre profil'!A37="x","PAR RÈGLEMENT DIRECT AUX PRESTATAIRES pour un total de : "&amp; 'Equipe et Location'!K11+'Equipe et Location'!K15+'Equipe et Location'!K19+'Equipe et Location'!J25 &amp; " € (rappel)",IF('Votre profil'!A35="x","RÉMUNERATIONS DES PRESTATAIRES","RÉMUNERATION DE L'ÉQUIPE"))</f>
        <v>RÉMUNERATION DE L'ÉQUIPE</v>
      </c>
      <c r="B47" s="1966"/>
      <c r="C47" s="1583" t="s">
        <v>1128</v>
      </c>
      <c r="D47" s="1586" t="str">
        <f>IF('Votre profil'!A37="x","Rappel","P.U. moyen / jour")</f>
        <v>P.U. moyen / jour</v>
      </c>
      <c r="E47" s="1584">
        <f>IF(SUM(E48:E52)=0,0,IF('Votre profil'!D11="oui","Total Hon. [TVA 2]"&amp;" "&amp;ROUND(SUM(E48:E52),2)&amp;" €","Total Hon."&amp;" "&amp;ROUND(SUM(E48:E52),2)&amp;" €"))</f>
        <v>0</v>
      </c>
    </row>
    <row r="48" spans="1:6" s="140" customFormat="1" ht="28" customHeight="1">
      <c r="A48" s="1464" t="str">
        <f>IF(C48=0,"",IF('Votre profil'!A37="x",'Equipe et Location'!B10&amp;" " &amp;COUNT('Equipe et Location'!C11:C12)&amp;" pers.",'Equipe et Location'!B10&amp;" " &amp;COUNT('Equipe et Location'!C11:C12)&amp;" pers."))</f>
        <v/>
      </c>
      <c r="B48" s="1464" t="str">
        <f>IF(C48=0,"",IF(AND('Votre profil'!A35="x",'Votre profil'!A38="x"),"La facture vous sera envoyée par le prestataire",IF('Votre profil'!A37="x","Règlement au prestataire en direct",IF(E48="","","Paiement en "&amp;'Equipe et Location'!I11&amp;" "&amp;'Equipe et Location'!I12))))</f>
        <v/>
      </c>
      <c r="C48" s="1465">
        <f>IF('Equipe et Location'!K11=0,0,'Equipe et Location'!D11+'Equipe et Location'!D12&amp;" journée(s)")</f>
        <v>0</v>
      </c>
      <c r="D48" s="1466">
        <f>IF('Equipe et Location'!K11=0,0,IF(AND('Votre profil'!A35="x",'Votre profil'!A37="x"),"Pour "&amp;'Equipe et Location'!K11&amp;" € (voir devis)",'Equipe et Location'!K11/SUM('Equipe et Location'!D11:D12)))</f>
        <v>0</v>
      </c>
      <c r="E48" s="1467">
        <f>IF(AND('Votre profil'!A35="x",'Votre profil'!A37="x"),0,'Equipe et Location'!K11)</f>
        <v>0</v>
      </c>
      <c r="F48" s="632"/>
    </row>
    <row r="49" spans="1:6" s="140" customFormat="1" ht="28" customHeight="1">
      <c r="A49" s="1464" t="str">
        <f>IF(C49=0,"",IF(C491,"",IF('Votre profil'!A37="x",'Equipe et Location'!B14&amp;" "&amp;COUNT('Equipe et Location'!C15:C16)&amp;" pers.",'Equipe et Location'!B14&amp;" "&amp;COUNT('Equipe et Location'!C15:C16)&amp;" pers.")))</f>
        <v/>
      </c>
      <c r="B49" s="1464" t="str">
        <f>IF(C49=0,"",IF(AND('Votre profil'!A35="x",'Votre profil'!A38="x"),"La facture vous sera envoyée par le prestataire",IF('Votre profil'!A37="x","Règlement au prestataire en direct",IF(E49="","","Paiement en "&amp;'Equipe et Location'!I15&amp;" "&amp;'Equipe et Location'!I16))))</f>
        <v/>
      </c>
      <c r="C49" s="1468">
        <f>IF('Equipe et Location'!K15=0,0,'Equipe et Location'!D15+'Equipe et Location'!D16&amp; " journée(s)")</f>
        <v>0</v>
      </c>
      <c r="D49" s="1466">
        <f>IF('Equipe et Location'!K15=0,0,IF(AND('Votre profil'!A35="x",'Votre profil'!A37="x"),"Pour "&amp;'Equipe et Location'!K15&amp;" € (voir devis)",'Equipe et Location'!K15/SUM('Equipe et Location'!D15:D16)))</f>
        <v>0</v>
      </c>
      <c r="E49" s="1469">
        <f>IF(AND('Votre profil'!A35="x",'Votre profil'!A37="x"),0,'Equipe et Location'!K15)</f>
        <v>0</v>
      </c>
      <c r="F49" s="632"/>
    </row>
    <row r="50" spans="1:6" s="140" customFormat="1" ht="28" customHeight="1">
      <c r="A50" s="1452" t="str">
        <f>IF(D50=0,"",'Equipe et Location'!B25)</f>
        <v/>
      </c>
      <c r="B50" s="1464" t="str">
        <f>IF(C51=0,"",IF(AND('Votre profil'!A35="x",'Votre profil'!A38="x"),"La facture vous sera envoyée par le prestataire",IF('Votre profil'!A37="x","Règlement au prestataire en direct",IF(E50="","","Détail de la liste des frais sur demande"))))</f>
        <v/>
      </c>
      <c r="C50" s="1470"/>
      <c r="D50" s="1466">
        <f>IF('Equipe et Location'!J25=0,0,IF(AND('Votre profil'!A35="x",'Votre profil'!A37="x"),"Pour "&amp;'Equipe et Location'!J25&amp;" € (voir devis)",'Equipe et Location'!J25))</f>
        <v>0</v>
      </c>
      <c r="E50" s="1469">
        <f>IF(AND('Votre profil'!A35="x",'Votre profil'!A37="x"),0,'Equipe et Location'!J25)</f>
        <v>0</v>
      </c>
      <c r="F50" s="632"/>
    </row>
    <row r="51" spans="1:6" s="31" customFormat="1" ht="28" customHeight="1">
      <c r="A51" s="1464" t="str">
        <f>IF(C51=0,"",IF('Votre profil'!A37="x",'Equipe et Location'!B18&amp;" " &amp;COUNT('Equipe et Location'!C19:C20)&amp;" pers.",'Equipe et Location'!B18&amp;" " &amp;COUNT('Equipe et Location'!C19:C20)&amp;" pers."))</f>
        <v/>
      </c>
      <c r="B51" s="1464" t="str">
        <f>IF(C51=0,"",IF(AND('Votre profil'!A35="x",'Votre profil'!A38="x"),"La facture vous sera envoyée par le prestataire",IF('Votre profil'!A37="x","Règlement au prestataire en direct",IF(E51="","","Paiement en "&amp;'Equipe et Location'!I19&amp;" "&amp;'Equipe et Location'!I20))))</f>
        <v/>
      </c>
      <c r="C51" s="1468">
        <f>IF('Equipe et Location'!K19=0,0,'Equipe et Location'!D19+'Equipe et Location'!D20&amp;" journée(s)")</f>
        <v>0</v>
      </c>
      <c r="D51" s="1466">
        <f>IF('Equipe et Location'!K19=0,0,IF(AND('Votre profil'!A35="x",'Votre profil'!A37="x"),"Pour "&amp;'Equipe et Location'!K19&amp;" € (voir devis)",'Equipe et Location'!K19/SUM('Equipe et Location'!D19:D20)))</f>
        <v>0</v>
      </c>
      <c r="E51" s="1469">
        <f>IF(AND('Votre profil'!A35="x",'Votre profil'!A37="x"),0,'Equipe et Location'!K19)</f>
        <v>0</v>
      </c>
      <c r="F51" s="209"/>
    </row>
    <row r="52" spans="1:6" s="31" customFormat="1" ht="28" customHeight="1">
      <c r="A52" s="1976" t="str">
        <f>IF(D52=0,"",IF('Votre profil'!A35="x","","La législation interdit au photographe le règlement des modèles pour le compte du client. Montant à confirmer et non inclus dans le devis"))</f>
        <v/>
      </c>
      <c r="B52" s="1977"/>
      <c r="C52" s="1977"/>
      <c r="D52" s="1471">
        <f>IF('Votre profil'!A35="x","",ROUND('Bareme mannequin'!A3,0))</f>
        <v>0</v>
      </c>
      <c r="E52" s="1469"/>
      <c r="F52" s="209"/>
    </row>
    <row r="53" spans="1:6" s="31" customFormat="1" ht="21" customHeight="1">
      <c r="A53" s="1978" t="str">
        <f>IF('Votre profil'!A38="x","LOCATIONS &amp; FRAIS PAR RÈGLEMENT DIRECT AUX PRESTATAIRES pour un total de : "&amp;'Equipe et Location'!J27+'Equipe et Location'!J29+'Equipe et Location'!J31&amp;" € (rappel)",IF('Votre profil'!A35="x","LOCATIONS &amp; FRAIS","LOCATIONS &amp; FRAIS"))</f>
        <v>LOCATIONS &amp; FRAIS</v>
      </c>
      <c r="B53" s="1978"/>
      <c r="C53" s="1978"/>
      <c r="D53" s="1978"/>
      <c r="E53" s="1587">
        <f>IF(SUM(E54:E56)=0,0,IF('Votre profil'!D11="oui","Total Loc. [TVA 2]"&amp;" "&amp;ROUND(SUM(E54:E56),2)&amp;" €","Total Loc."&amp;" "&amp;ROUND(SUM(E54:E56),2)&amp;" €"))</f>
        <v>0</v>
      </c>
    </row>
    <row r="54" spans="1:6" s="140" customFormat="1" ht="28" customHeight="1">
      <c r="A54" s="1472" t="str">
        <f>IF(AND('Votre profil'!A35="x",'Votre profil'!A38="x")," (Pour "&amp; 'Equipe et Location'!J27&amp;" € voir devis)","")</f>
        <v/>
      </c>
      <c r="B54" s="1473" t="str">
        <f>IF('Votre profil'!A38="x",'Equipe et Location'!B27&amp;" par paiement direct au prestataire",'Equipe et Location'!B27)</f>
        <v>Location de studio et option[s]</v>
      </c>
      <c r="C54" s="1980" t="str">
        <f>IF('Evaluation loc. studio'!L20&gt;0,"Estimée à "&amp;'Evaluation loc. studio'!J12&amp;" "&amp;'Evaluation loc. studio'!K12&amp;" pour "&amp;'Evaluation loc. studio'!L12,"")</f>
        <v/>
      </c>
      <c r="D54" s="1981"/>
      <c r="E54" s="1474">
        <f>IF(AND('Votre profil'!A35="x",'Votre profil'!A38="x"),0,'Equipe et Location'!J27)</f>
        <v>0</v>
      </c>
    </row>
    <row r="55" spans="1:6" s="140" customFormat="1" ht="28" customHeight="1">
      <c r="A55" s="1472" t="str">
        <f>IF(AND('Votre profil'!A35="x",'Votre profil'!A38="x")," (Pour "&amp; 'Equipe et Location'!J29&amp;" € voir devis)","")</f>
        <v/>
      </c>
      <c r="B55" s="1473" t="str">
        <f>IF('Votre profil'!A38="x",'Equipe et Location'!B29&amp;" par paiement direct au prestataire",'Equipe et Location'!B29)</f>
        <v>Location de matériel technique</v>
      </c>
      <c r="C55" s="1982" t="str">
        <f>IF(AND('Votre profil'!A35="x",'Votre profil'!A38="x"),"Les factures vous seront envoyées par les prestataires","Sur demande et selon les cas des devis détaillés peuvent être fournis")</f>
        <v>Sur demande et selon les cas des devis détaillés peuvent être fournis</v>
      </c>
      <c r="D55" s="1983"/>
      <c r="E55" s="1475">
        <f>IF(AND('Votre profil'!A35="x",'Votre profil'!A38="x"),0,'Equipe et Location'!J29)</f>
        <v>0</v>
      </c>
    </row>
    <row r="56" spans="1:6" s="31" customFormat="1" ht="28" customHeight="1">
      <c r="A56" s="1472" t="str">
        <f>IF(AND('Votre profil'!A35="x",'Votre profil'!A38="x")," (Pour "&amp; 'Equipe et Location'!J31&amp;" € voir devis)","")</f>
        <v/>
      </c>
      <c r="B56" s="1476" t="str">
        <f>IF('Votre profil'!A38="x",'Equipe et Location'!B31&amp;" par paiement direct au prestataire",'Equipe et Location'!B31)</f>
        <v>Labo, autres frais divers,…</v>
      </c>
      <c r="C56" s="1984"/>
      <c r="D56" s="1985"/>
      <c r="E56" s="1475">
        <f>IF(AND('Votre profil'!A35="x",'Votre profil'!A38="x"),0,'Equipe et Location'!J31)</f>
        <v>0</v>
      </c>
    </row>
    <row r="57" spans="1:6" s="31" customFormat="1" ht="21" customHeight="1">
      <c r="A57" s="1966" t="str">
        <f>IF('Votre profil'!A35="x","FRAIS DE DÉPLACEMENT à régler comptant", "FRAIS DE DÉPLACEMENT (Sur forfaits ou sur justificatifs) réglables au comptant dans les deux cas")</f>
        <v>FRAIS DE DÉPLACEMENT (Sur forfaits ou sur justificatifs) réglables au comptant dans les deux cas</v>
      </c>
      <c r="B57" s="1966"/>
      <c r="C57" s="1978"/>
      <c r="D57" s="1979"/>
      <c r="E57" s="1588" t="str">
        <f>IF(SUM(E58:E59)=0,0,IF('Votre profil'!D11="oui","Total Dépl. [TVA 2]"&amp;" "&amp;ROUND(SUM(E58:E59),2)&amp;" €","Total Dépl."&amp;" "&amp;ROUND(SUM(E58:E59),2)&amp;" €"))</f>
        <v>Total Dépl. 24,12 €</v>
      </c>
    </row>
    <row r="58" spans="1:6" s="140" customFormat="1" ht="28" customHeight="1">
      <c r="A58" s="654"/>
      <c r="B58" s="1500" t="s">
        <v>102</v>
      </c>
      <c r="C58" s="1519" t="str">
        <f>IF('Frais de déplacement'!C36=0,"",ROUND('Frais de déplacement'!C36,2)&amp; " € trajet")</f>
        <v>24,12 € trajet</v>
      </c>
      <c r="D58" s="1521" t="str">
        <f>IF(SUM('Frais de déplacement'!D37:D44)=0,""," + " &amp;SUM('Frais de déplacement'!D37:D44) &amp;" € de Frais")</f>
        <v/>
      </c>
      <c r="E58" s="1501">
        <f>IF('Frais de déplacement'!E40+'Frais de déplacement'!C36=0,"",'Frais de déplacement'!E40+'Frais de déplacement'!C36)</f>
        <v>24.119999999999997</v>
      </c>
    </row>
    <row r="59" spans="1:6" s="282" customFormat="1" ht="28" customHeight="1">
      <c r="A59" s="1101"/>
      <c r="B59" s="1500" t="s">
        <v>260</v>
      </c>
      <c r="C59" s="1520" t="str">
        <f>IF('Frais de déplacement'!D11=0,"",'Frais de déplacement'!I11 &amp; " jour à "&amp;ROUND('Frais de déplacement'!G9,0)&amp;" € - "&amp;'Frais de déplacement'!D11&amp;" pers.")</f>
        <v/>
      </c>
      <c r="D59" s="1521" t="str">
        <f>IF('Frais de déplacement'!E49-'Frais de déplacement'!C47=0,"","+ "&amp;'Frais de déplacement'!E49-'Frais de déplacement'!C47&amp;" € de frais")</f>
        <v/>
      </c>
      <c r="E59" s="1501" t="str">
        <f>IF('Frais de déplacement'!E49=0,"",'Frais de déplacement'!E49)</f>
        <v/>
      </c>
    </row>
    <row r="60" spans="1:6" s="140" customFormat="1" ht="28" customHeight="1">
      <c r="A60" s="1063"/>
      <c r="B60" s="1502"/>
      <c r="C60" s="1500" t="str">
        <f>IF('Frais de déplacement'!P4=0,"","Imprévus évalués pour ce poste à")</f>
        <v/>
      </c>
      <c r="D60" s="1503" t="str">
        <f>IF('Frais de déplacement'!P4=0,"",'Frais de déplacement'!P4)</f>
        <v/>
      </c>
      <c r="E60" s="1501" t="str">
        <f>IF('Frais de déplacement'!P4=0,"",'Frais de déplacement'!Q4)</f>
        <v/>
      </c>
    </row>
    <row r="61" spans="1:6" s="140" customFormat="1" ht="28" customHeight="1">
      <c r="A61" s="1522" t="str">
        <f>'Temps passé'!AB10</f>
        <v/>
      </c>
      <c r="B61" s="1523" t="str">
        <f>IF('Temps passé'!AB9&gt;0,"de prix moyen à la prise de vue","")</f>
        <v/>
      </c>
      <c r="C61" s="654"/>
      <c r="D61" s="1105"/>
      <c r="E61" s="1104"/>
    </row>
    <row r="62" spans="1:6" s="140" customFormat="1" ht="28" customHeight="1">
      <c r="A62" s="1106"/>
      <c r="B62" s="1107"/>
      <c r="C62" s="654"/>
      <c r="D62" s="1105"/>
      <c r="E62" s="1104"/>
    </row>
    <row r="63" spans="1:6" s="31" customFormat="1" ht="3" customHeight="1">
      <c r="A63" s="1108"/>
      <c r="B63" s="1101"/>
      <c r="C63" s="1101"/>
      <c r="D63" s="1109"/>
      <c r="E63" s="1110"/>
    </row>
    <row r="64" spans="1:6" s="31" customFormat="1" ht="28" customHeight="1">
      <c r="A64" s="1108"/>
      <c r="B64" s="1101"/>
      <c r="C64" s="1101"/>
      <c r="D64" s="1109"/>
      <c r="E64" s="1111"/>
    </row>
    <row r="65" spans="1:6" s="31" customFormat="1" ht="29" customHeight="1">
      <c r="A65" s="1106"/>
      <c r="B65" s="1107"/>
      <c r="C65" s="1112"/>
      <c r="D65" s="1113" t="str">
        <f>IF('Temps passé'!E19&lt;0,"Remise exceptionnelle sur la rémunération artistique de "&amp;TEXT('Temps passé'!E19,"00%"),IF('Temps passé'!E19&gt;0,"Majoration de la rémunération artistique suite à conditions particulières d'exécution  "&amp;TEXT('Temps passé'!E19,"00%"),""))</f>
        <v/>
      </c>
      <c r="E65" s="1114">
        <f>SUM(E21:E44)*'Temps passé'!E19</f>
        <v>0</v>
      </c>
    </row>
    <row r="66" spans="1:6" s="31" customFormat="1" ht="27" customHeight="1">
      <c r="C66" s="1449"/>
      <c r="D66" s="1450" t="str">
        <f>IF('Votre profil'!D8="x","TOTAL RÉMUNÉRATION AUTEUR", "TOTAL RÉMUNÉRATION PHOTOGRAPHE")</f>
        <v>TOTAL RÉMUNÉRATION AUTEUR</v>
      </c>
      <c r="E66" s="1451">
        <f>SUM(E21:E27)+SUM(E29:E31)+SUM(E33:E46)+E65</f>
        <v>0</v>
      </c>
      <c r="F66" s="1126" t="str">
        <f>IF('Votre profil'!D11="oui","'(TVA 1)","")</f>
        <v/>
      </c>
    </row>
    <row r="67" spans="1:6" s="31" customFormat="1" ht="27" customHeight="1">
      <c r="C67" s="1449"/>
      <c r="D67" s="1452" t="str">
        <f>IF('Votre profil'!A35&lt;&gt;"x","TOTAL RÉMUNÉRATIONS DES PRESTATAIRES",IF('Votre profil'!A35="x",'Devis-Fact'!A47,""))</f>
        <v>TOTAL RÉMUNÉRATIONS DES PRESTATAIRES</v>
      </c>
      <c r="E67" s="1453">
        <f>SUM(E48:E52)</f>
        <v>0</v>
      </c>
      <c r="F67" s="1126" t="str">
        <f>IF('Votre profil'!D11="oui","'(TVA 2)","")</f>
        <v/>
      </c>
    </row>
    <row r="68" spans="1:6" s="31" customFormat="1" ht="27" customHeight="1">
      <c r="C68" s="1449"/>
      <c r="D68" s="1452" t="str">
        <f>IF('Votre profil'!A35&lt;&gt;"x","TOTAL LOCATION ET FRAIS",IF('Votre profil'!A35="x",'Devis-Fact'!A53,""))</f>
        <v>TOTAL LOCATION ET FRAIS</v>
      </c>
      <c r="E68" s="1453">
        <f>SUM(E54:E56)</f>
        <v>0</v>
      </c>
      <c r="F68" s="1126" t="str">
        <f>IF('Votre profil'!D11="oui","'(TVA 2)","")</f>
        <v/>
      </c>
    </row>
    <row r="69" spans="1:6" s="31" customFormat="1" ht="27" customHeight="1">
      <c r="C69" s="1449"/>
      <c r="D69" s="1452" t="s">
        <v>104</v>
      </c>
      <c r="E69" s="1453">
        <f>SUM(E58:E60)</f>
        <v>24.119999999999997</v>
      </c>
      <c r="F69" s="1126" t="str">
        <f>IF('Votre profil'!D11="oui","'(TVA 2)","")</f>
        <v/>
      </c>
    </row>
    <row r="70" spans="1:6" s="31" customFormat="1" ht="27" customHeight="1">
      <c r="A70" s="1101"/>
      <c r="B70" s="1101"/>
      <c r="C70" s="1449"/>
      <c r="D70" s="1454" t="str">
        <f>IF('Votre profil'!D11="non","TOTAL NET DE TVA","TOTAL HT")</f>
        <v>TOTAL NET DE TVA</v>
      </c>
      <c r="E70" s="1455">
        <f>SUM(E66:E69)</f>
        <v>24.119999999999997</v>
      </c>
    </row>
    <row r="71" spans="1:6" s="31" customFormat="1" ht="21" customHeight="1">
      <c r="A71" s="1101"/>
      <c r="B71" s="1101"/>
      <c r="C71" s="1449"/>
      <c r="D71" s="1454"/>
      <c r="E71" s="1455"/>
    </row>
    <row r="72" spans="1:6" s="140" customFormat="1" ht="21" customHeight="1">
      <c r="B72" s="1151" t="str">
        <f>IF('Votre profil'!D11="non","",IF(D15="UE","Exonération UE",IF(D15="export","Exportation exonérée de TVA","")))</f>
        <v/>
      </c>
      <c r="C72" s="1456" t="str">
        <f>IF('Votre profil'!A12="x", "TVA Taux réduit sur les droits (1)",IF('Votre profil'!D11="non","",IF('Votre profil'!D5="x","",IF('Votre profil'!D8="x","TVA Taux réduit (1)",""))))</f>
        <v/>
      </c>
      <c r="D72" s="1457">
        <f>IF('Votre profil'!A12="x",0.1,IF('Votre profil'!D11="non",0,IF('Votre profil'!D5="x",0,IF('Votre profil'!D8="x",0.1,0))))</f>
        <v>0</v>
      </c>
      <c r="E72" s="1458">
        <f>IF('Votre profil'!A12="x",SUM('Devis-Fact'!E33:E44)*D72,IF('Votre profil'!$D$11="non",0,IF($D$15="export",0,IF($D$15="UE",0,E66*$D$72))))</f>
        <v>0</v>
      </c>
    </row>
    <row r="73" spans="1:6" s="140" customFormat="1" ht="21" customHeight="1">
      <c r="A73" s="1064"/>
      <c r="B73" s="1151" t="str">
        <f>IF('Votre profil'!D11="non","",IF(D15="UE","Exo TVA : art. 262 ter I du CGI ",IF(D15="export","Exportation exonérée de TVA","")))</f>
        <v/>
      </c>
      <c r="C73" s="1456" t="str">
        <f>IF('Votre profil'!D11="non","",IF(D15&gt;0,"TVA Taux plein (2)",IF('Votre profil'!D11="oui","TVA Taux plein (2)","")))</f>
        <v/>
      </c>
      <c r="D73" s="1457" t="str">
        <f>IF('Votre profil'!D11="oui", 0.2,"")</f>
        <v/>
      </c>
      <c r="E73" s="1458" t="str">
        <f>IF(D73="","",IF(AND('Votre profil'!D11="oui",'Votre profil'!D8="x"),SUM(E67:E69)*D73,E70*D73-E72))</f>
        <v/>
      </c>
    </row>
    <row r="74" spans="1:6" s="31" customFormat="1" ht="21" customHeight="1">
      <c r="A74" s="1115"/>
      <c r="B74" s="1116"/>
      <c r="C74" s="1459"/>
      <c r="D74" s="1459"/>
      <c r="E74" s="1460"/>
    </row>
    <row r="75" spans="1:6" s="31" customFormat="1" ht="29" customHeight="1">
      <c r="A75" s="1101"/>
      <c r="B75" s="1101"/>
      <c r="C75" s="1461"/>
      <c r="D75" s="1462" t="str">
        <f>IF('Votre profil'!D11="non","",IF(D15="UE","Net de TVA",IF(D15="export","Net de TVA",IF('Votre profil'!D11="oui","TOTAL TTC",""))))</f>
        <v/>
      </c>
      <c r="E75" s="1463">
        <f>IF('Votre profil'!D11="non",0,(SUM(E70:E73)))</f>
        <v>0</v>
      </c>
    </row>
    <row r="76" spans="1:6" s="31" customFormat="1" ht="19" customHeight="1">
      <c r="A76" s="1101"/>
      <c r="B76" s="1101"/>
      <c r="C76" s="1117"/>
      <c r="D76" s="1118"/>
      <c r="E76" s="1119"/>
    </row>
    <row r="77" spans="1:6" s="31" customFormat="1" ht="24" customHeight="1">
      <c r="A77" s="1101"/>
      <c r="B77" s="1101"/>
      <c r="C77" s="1120"/>
      <c r="D77" s="1121" t="str">
        <f>IF('Votre profil'!D40&gt;0,"Acompte versé","")</f>
        <v/>
      </c>
      <c r="E77" s="1122">
        <f>'Votre profil'!D40</f>
        <v>0</v>
      </c>
    </row>
    <row r="78" spans="1:6" s="31" customFormat="1" ht="24" customHeight="1">
      <c r="A78" s="1123"/>
      <c r="B78" s="1123"/>
      <c r="C78" s="1120"/>
      <c r="D78" s="1121"/>
      <c r="E78" s="1122"/>
    </row>
    <row r="79" spans="1:6" s="62" customFormat="1" ht="26" customHeight="1">
      <c r="A79" s="1124"/>
      <c r="B79" s="1445" t="str">
        <f>IF('Votre profil'!A35="","Condition de réglement","")</f>
        <v>Condition de réglement</v>
      </c>
      <c r="C79" s="1446">
        <f>IF('Votre profil'!A35="x","",'Votre profil'!D31)</f>
        <v>30</v>
      </c>
      <c r="D79" s="1447" t="str">
        <f>IF('Votre profil'!A35="x","","jours à date de facturation.")</f>
        <v>jours à date de facturation.</v>
      </c>
      <c r="E79" s="1448"/>
      <c r="F79" s="567"/>
    </row>
    <row r="80" spans="1:6" ht="26" customHeight="1">
      <c r="A80" s="566"/>
      <c r="B80" s="1063"/>
      <c r="C80" s="273"/>
      <c r="D80" s="273"/>
      <c r="E80" s="1125"/>
    </row>
    <row r="81" spans="1:6" s="31" customFormat="1" ht="26" customHeight="1">
      <c r="A81" s="1150">
        <f>IF('Votre profil'!A35="x","",IF(D15="ue","Advance fees " &amp;ROUND((E66*C81),2)&amp;" €",IF(D15="export","Advance fees " &amp;ROUND((E66*C81),2)&amp;" €",0)))</f>
        <v>0</v>
      </c>
      <c r="B81" s="1504" t="str">
        <f>IF(C81=0,"","Acompte sur la rémunération du photographe")</f>
        <v>Acompte sur la rémunération du photographe</v>
      </c>
      <c r="C81" s="1505">
        <f>IF('Votre profil'!A35="x",0,'Votre profil'!D32)</f>
        <v>0.2</v>
      </c>
      <c r="D81" s="1506">
        <f>IF(A81&gt;0,0,IF(AND('Votre profil'!A35="x",'Votre profil'!D32=0),0,IF('Votre profil'!D11="non",E66*C81,IF('Votre profil'!D11="oui",IF('Votre profil'!D8="x",(E66*C81)+(E66*D72*C81),IF('Votre profil'!D11="oui",(E66*C81)+(E66*D73*C81)))))))</f>
        <v>0</v>
      </c>
      <c r="E81" s="1507">
        <f>IF(E77&gt;0,0,IF(D82=0,0,IF('Votre profil'!A35="x",0,0)))</f>
        <v>0</v>
      </c>
    </row>
    <row r="82" spans="1:6" ht="26" customHeight="1">
      <c r="A82" s="1150">
        <f>IF('Votre profil'!A35="x","",IF(D15="ue","Production costs "&amp;ROUND(SUM(E67:E68),2)&amp;" €",IF(D15="export","Production costs "&amp;ROUND(SUM(E67:E68),2)&amp;" €",0)))</f>
        <v>0</v>
      </c>
      <c r="B82" s="1508"/>
      <c r="C82" s="1509" t="str">
        <f>IF('Votre profil'!A35="x","",IF(E77&gt;0,"",IF(E69+E68+E67=0,"","Avance des frais de production")))</f>
        <v>Avance des frais de production</v>
      </c>
      <c r="D82" s="1510">
        <f>IF(A82&gt;0,0,IF('Votre profil'!A35="x",0,IF(E77&gt;0,"",IF((E68+E67)=0,0,IF('Votre profil'!D11="non",E68+E67,(E68+E67)+(E68+E67)*D73)))))</f>
        <v>0</v>
      </c>
      <c r="E82" s="1511"/>
    </row>
    <row r="83" spans="1:6" ht="26" customHeight="1">
      <c r="A83" s="1150">
        <f>IF('Votre profil'!A35="x","",IF(D15="ue","Advance payement "&amp;ROUND((E66+E67+E68),2)&amp;" €",IF(D15="export","Advance payement "&amp;ROUND((E66+E67+E68),2)&amp;" €",0)))</f>
        <v>0</v>
      </c>
      <c r="B83" s="1512"/>
      <c r="C83" s="1509" t="str">
        <f>IF('Votre profil'!D32=0,"",IF('Votre profil'!A35="x","",IF(E77&gt;0,"",IF(D83&gt;0,"Pour un total de :",""))))</f>
        <v>Pour un total de :</v>
      </c>
      <c r="D83" s="1513" t="str">
        <f>IF(A83&gt;0,0,IF(SUM(D81:D82)&gt;0,SUM(D81:D82),""))</f>
        <v/>
      </c>
      <c r="E83" s="1514">
        <f>IF(E77&gt;0,0,IF(D82=0,0,IF('Votre profil'!A35="x",0," à la commande")))</f>
        <v>0</v>
      </c>
    </row>
    <row r="84" spans="1:6" ht="26" customHeight="1">
      <c r="A84" s="1149"/>
      <c r="B84" s="1512"/>
      <c r="C84" s="1512"/>
      <c r="D84" s="1515" t="str">
        <f>IF('Votre profil'!A35="x","Règlement par chèque ou virement, (N° Iban: " &amp;'Votre profil'!C27&amp; ") au comptant pour : ","")</f>
        <v/>
      </c>
      <c r="E84" s="1516">
        <f>IF('Votre profil'!A35=0,0,IF(E77&gt;SUM(E67:E69),0,SUM(E67:E69)-E77))</f>
        <v>0</v>
      </c>
    </row>
    <row r="85" spans="1:6" ht="21" customHeight="1">
      <c r="A85" s="273"/>
      <c r="B85" s="1512"/>
      <c r="C85" s="1515" t="str">
        <f>IF('Votre profil'!A35=0,"","Solde au ")</f>
        <v/>
      </c>
      <c r="D85" s="1517" t="str">
        <f>IF('Votre profil'!A35="x",B11+'Votre profil'!D31,"")</f>
        <v/>
      </c>
      <c r="E85" s="1518">
        <f>IF('Votre profil'!A35=0,0,(SUM(E66:E69)+SUM(E72:E73)-E77-E84))</f>
        <v>0</v>
      </c>
      <c r="F85" s="1149"/>
    </row>
    <row r="86" spans="1:6" ht="28" customHeight="1">
      <c r="A86" s="1444" t="str">
        <f>IF('Votre profil'!D11="non","TVA NON APPLICABLE, Art 293 b du CGI",IF(D15="UE","Autoliquidation-Exonération art.283-2 du CGI",IF(D15="export","Exportation exonérée de TVA","TVA acquittée sur les encaissements")))</f>
        <v>TVA NON APPLICABLE, Art 293 b du CGI</v>
      </c>
      <c r="B86" s="516"/>
      <c r="C86" s="516"/>
      <c r="D86" s="516"/>
      <c r="E86" s="516"/>
      <c r="F86" s="516"/>
    </row>
    <row r="87" spans="1:6" ht="28" customHeight="1">
      <c r="B87" s="1443" t="str">
        <f>IF('Votre profil'!A35="x","Cette facture s'accompagne de CGV en annexe.","Pour être validé ce devis doit être paraphé et son annexe doit être datée, tamponnée du cachet du client et signée du responsable.")</f>
        <v>Pour être validé ce devis doit être paraphé et son annexe doit être datée, tamponnée du cachet du client et signée du responsable.</v>
      </c>
      <c r="C87" s="516"/>
      <c r="D87" s="516"/>
      <c r="E87" s="516"/>
      <c r="F87" s="516"/>
    </row>
    <row r="88" spans="1:6" ht="28" customHeight="1">
      <c r="B88" s="1152" t="str">
        <f>IF('Votre profil'!A35="x","Date de livraison : "&amp; TEXT(B11,"jj / mm / aaaa"), "")</f>
        <v/>
      </c>
      <c r="D88" s="516"/>
      <c r="E88" s="516"/>
      <c r="F88" s="516"/>
    </row>
    <row r="89" spans="1:6" ht="28" customHeight="1"/>
    <row r="90" spans="1:6" ht="28" customHeight="1"/>
    <row r="91" spans="1:6" ht="28" customHeight="1"/>
    <row r="92" spans="1:6" ht="28" customHeight="1"/>
    <row r="93" spans="1:6" ht="28" customHeight="1"/>
    <row r="94" spans="1:6" ht="28" customHeight="1"/>
    <row r="95" spans="1:6" ht="28" customHeight="1"/>
    <row r="96" spans="1:6" ht="28" customHeight="1"/>
    <row r="97" ht="28" customHeight="1"/>
    <row r="98" ht="28" customHeight="1"/>
    <row r="99" ht="28" customHeight="1"/>
    <row r="100" ht="28" customHeight="1"/>
    <row r="101" ht="28" customHeight="1"/>
    <row r="102" ht="28" customHeight="1"/>
    <row r="103" ht="28" customHeight="1"/>
    <row r="104" ht="28" customHeight="1"/>
    <row r="105" ht="28" customHeight="1"/>
    <row r="106" ht="28" customHeight="1"/>
    <row r="107" ht="28" customHeight="1"/>
    <row r="108" ht="28" customHeight="1"/>
    <row r="109" ht="28" customHeight="1"/>
    <row r="110" ht="28" customHeight="1"/>
    <row r="111" ht="28" customHeight="1"/>
    <row r="112" ht="28" customHeight="1"/>
    <row r="113" ht="28" customHeight="1"/>
    <row r="114" ht="28" customHeight="1"/>
    <row r="115" ht="28" customHeight="1"/>
    <row r="116" ht="28" customHeight="1"/>
    <row r="117" ht="28" customHeight="1"/>
    <row r="118" ht="28" customHeight="1"/>
    <row r="119" ht="28" customHeight="1"/>
  </sheetData>
  <mergeCells count="16">
    <mergeCell ref="A52:C52"/>
    <mergeCell ref="A53:D53"/>
    <mergeCell ref="A57:D57"/>
    <mergeCell ref="C54:D54"/>
    <mergeCell ref="C55:D56"/>
    <mergeCell ref="A47:B47"/>
    <mergeCell ref="A32:B32"/>
    <mergeCell ref="A36:B36"/>
    <mergeCell ref="A38:B38"/>
    <mergeCell ref="D4:E4"/>
    <mergeCell ref="C9:D9"/>
    <mergeCell ref="C10:D10"/>
    <mergeCell ref="C11:D11"/>
    <mergeCell ref="C14:E14"/>
    <mergeCell ref="A20:B20"/>
    <mergeCell ref="A28:B28"/>
  </mergeCells>
  <phoneticPr fontId="50" type="noConversion"/>
  <conditionalFormatting sqref="A21:A27 C36:C40 E83:E84 C48:C51 D48:D52 D82:D83 E53:E57 E20:E51 C21:D27 E66:E73 E75:E78 C81:E81 A81:A83 D72">
    <cfRule type="cellIs" dxfId="94" priority="0" stopIfTrue="1" operator="equal">
      <formula>0</formula>
    </cfRule>
  </conditionalFormatting>
  <conditionalFormatting sqref="B81">
    <cfRule type="expression" dxfId="93" priority="1" stopIfTrue="1">
      <formula>"Acompte à la commande au taux de 0 sur les honoraires et droits"</formula>
    </cfRule>
  </conditionalFormatting>
  <conditionalFormatting sqref="E85">
    <cfRule type="cellIs" dxfId="92" priority="2" stopIfTrue="1" operator="equal">
      <formula>0</formula>
    </cfRule>
  </conditionalFormatting>
  <conditionalFormatting sqref="A80 B72:B73">
    <cfRule type="cellIs" dxfId="91" priority="4" stopIfTrue="1" operator="greaterThan">
      <formula>0</formula>
    </cfRule>
  </conditionalFormatting>
  <conditionalFormatting sqref="E65">
    <cfRule type="cellIs" dxfId="90" priority="5" stopIfTrue="1" operator="lessThan">
      <formula>0</formula>
    </cfRule>
    <cfRule type="cellIs" dxfId="89" priority="5" stopIfTrue="1" operator="equal">
      <formula>0</formula>
    </cfRule>
  </conditionalFormatting>
  <conditionalFormatting sqref="B88">
    <cfRule type="cellIs" dxfId="88" priority="6" stopIfTrue="1" operator="equal">
      <formula>"date de livraison"</formula>
    </cfRule>
  </conditionalFormatting>
  <printOptions horizontalCentered="1" verticalCentered="1"/>
  <pageMargins left="0.49513888888888902" right="0.39" top="0.31851851851851898" bottom="0.28888888888888897" header="0.24444444444444399" footer="0.22"/>
  <pageSetup paperSize="10" scale="32" orientation="portrait" horizontalDpi="4294967294" verticalDpi="4294967294"/>
  <ignoredErrors>
    <ignoredError sqref="D16:D17 B12 D14 D8:E13 C6:E6 B41:B45 A51:A52 B84:B85 A9:A12 E14:E17 C55 D4 B31 A54:B56 D3:E3 A2 A86 D28:E28 E32:E34 B37:B39 A21:E25 A33 C10:C16 C8 E60:E61 F75:F76 D31:E31 D58:E58 E63 E54:E56 B82 B36 D44:E44 C37 B87:B88 D41:D43 D36 B72 C31:C32 B29:E30 A79:B79 A81:A83 A44:A45 C79:E86 E67:E71 D66:D68 E65 A37 B34:D34 C41:C45 E39 B47:E52 A47:A49 E37 E74:E78 C72:C78 D72 D74:D78" emptyCellReference="1"/>
  </ignoredErrors>
  <drawing r:id="rId1"/>
  <legacyDrawing r:id="rId2"/>
  <extLst>
    <ext xmlns:mx="http://schemas.microsoft.com/office/mac/excel/2008/main" uri="http://schemas.microsoft.com/office/mac/excel/2008/main">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45"/>
  <sheetViews>
    <sheetView showGridLines="0" view="pageLayout" zoomScale="92" zoomScaleNormal="92" zoomScalePageLayoutView="92" workbookViewId="0">
      <selection activeCell="A40" sqref="A40:F40"/>
    </sheetView>
  </sheetViews>
  <sheetFormatPr baseColWidth="10" defaultRowHeight="12"/>
  <cols>
    <col min="1" max="1" width="27" style="23" customWidth="1"/>
    <col min="2" max="2" width="21.5" style="23" customWidth="1"/>
    <col min="3" max="3" width="29" style="23" customWidth="1"/>
    <col min="4" max="4" width="5.75" style="23" customWidth="1"/>
    <col min="5" max="5" width="12.25" style="23" customWidth="1"/>
    <col min="6" max="6" width="10.25" style="23" customWidth="1"/>
    <col min="7" max="7" width="4.625" style="23" customWidth="1"/>
    <col min="8" max="8" width="6.5" style="23" customWidth="1"/>
    <col min="9" max="9" width="4.375" style="23" customWidth="1"/>
    <col min="10" max="16384" width="10.625" style="23"/>
  </cols>
  <sheetData>
    <row r="1" spans="1:7" ht="62" customHeight="1"/>
    <row r="2" spans="1:7" ht="20" customHeight="1">
      <c r="A2" s="141" t="str">
        <f>CONCATENATE('Votre profil'!C16," ",'Votre profil'!C17)</f>
        <v>Leo PERATEUR</v>
      </c>
      <c r="C2" s="24" t="str">
        <f>IF('Votre profil'!D8="x","Auteur Photographe soumis au Régime de sécurité sociale des auteurs","")</f>
        <v>Auteur Photographe soumis au Régime de sécurité sociale des auteurs</v>
      </c>
      <c r="D2" s="24"/>
    </row>
    <row r="3" spans="1:7" ht="20" customHeight="1">
      <c r="A3" s="283" t="str">
        <f>IF('Votre profil'!D5="x",'Votre profil'!C5,IF('Votre profil'!D6="x",'Votre profil'!C6,IF('Votre profil'!D8="x",'Votre profil'!C8,IF('Votre profil'!D7="x",'Votre profil'!C7,""))))</f>
        <v>Auteur - Photographe</v>
      </c>
      <c r="B3" s="25" t="str">
        <f>IF('Votre profil'!D5="x",'Votre profil'!A25,IF('Votre profil'!D6="x",'Votre profil'!A25,IF('Votre profil'!D8="x",'Votre profil'!A24,"")))</f>
        <v>N° Sécurité Sociale</v>
      </c>
      <c r="C3" s="296" t="str">
        <f>IF('Votre profil'!D5="x",'Votre profil'!C25,IF('Votre profil'!D6="x",'Votre profil'!C25,IF('Votre profil'!D8="x",'Votre profil'!C24,"")))</f>
        <v>0 00 00 00 00 000</v>
      </c>
      <c r="D3" s="296"/>
      <c r="E3" s="25"/>
      <c r="F3" s="297"/>
    </row>
    <row r="4" spans="1:7" ht="20" customHeight="1">
      <c r="A4" s="281" t="str">
        <f>'Votre profil'!C18&amp;" "&amp;'Votre profil'!C19</f>
        <v>25 rue parissi 75018 PARLABA</v>
      </c>
      <c r="B4" s="25" t="s">
        <v>528</v>
      </c>
      <c r="C4" s="24" t="str">
        <f>'Votre profil'!C22</f>
        <v>000 000 000 00000</v>
      </c>
      <c r="D4" s="24"/>
      <c r="E4" s="25" t="s">
        <v>999</v>
      </c>
      <c r="F4" s="26" t="str">
        <f>'Votre profil'!C23</f>
        <v>FR00 000 000 000</v>
      </c>
    </row>
    <row r="5" spans="1:7" ht="20" customHeight="1">
      <c r="A5" s="258" t="str">
        <f>"Tél: "&amp;'Votre profil'!C20</f>
        <v>Tél: 06 80 85 81 08</v>
      </c>
      <c r="B5" s="25" t="s">
        <v>237</v>
      </c>
      <c r="C5" s="26" t="str">
        <f>IF('Votre profil'!D11="oui", "acquitée sur les encaissements","Franchise")</f>
        <v>Franchise</v>
      </c>
      <c r="D5" s="26"/>
    </row>
    <row r="6" spans="1:7" s="31" customFormat="1" ht="28" customHeight="1">
      <c r="A6" s="31" t="str">
        <f>"Email: "&amp;'Votre profil'!C21</f>
        <v xml:space="preserve">Email: ….@... </v>
      </c>
    </row>
    <row r="7" spans="1:7" ht="18" customHeight="1">
      <c r="A7" s="268"/>
      <c r="B7" s="269"/>
      <c r="C7" s="268"/>
      <c r="D7" s="268"/>
      <c r="E7" s="268"/>
      <c r="F7" s="268"/>
      <c r="G7" s="268"/>
    </row>
    <row r="9" spans="1:7" ht="18">
      <c r="A9" s="143" t="s">
        <v>746</v>
      </c>
      <c r="B9" s="142"/>
      <c r="C9" s="1991" t="s">
        <v>297</v>
      </c>
      <c r="D9" s="1991"/>
      <c r="E9" s="1992"/>
    </row>
    <row r="10" spans="1:7" ht="15" customHeight="1">
      <c r="A10" s="28" t="s">
        <v>246</v>
      </c>
      <c r="B10" s="29">
        <f ca="1">TODAY()</f>
        <v>44649</v>
      </c>
      <c r="C10" s="1993" t="str">
        <f>VLOOKUP(C9,'Base clients'!B6:I189,2,FALSE)</f>
        <v>Mr Ne-pas-suprimer</v>
      </c>
      <c r="D10" s="1993"/>
      <c r="E10" s="1994"/>
    </row>
    <row r="11" spans="1:7" ht="15" customHeight="1">
      <c r="A11" s="147" t="s">
        <v>487</v>
      </c>
      <c r="B11" s="32" t="str">
        <f>IF('Devis-Fact'!B13=0,"",'Devis-Fact'!B13)</f>
        <v/>
      </c>
      <c r="C11" s="1995" t="str">
        <f>VLOOKUP(C9,'Base clients'!B6:I189,3,FALSE)</f>
        <v>25 rue pas-toucher</v>
      </c>
      <c r="D11" s="1995"/>
      <c r="E11" s="1992"/>
      <c r="F11" s="104"/>
    </row>
    <row r="12" spans="1:7" ht="15" customHeight="1">
      <c r="A12" s="39"/>
      <c r="B12" s="32"/>
      <c r="C12" s="189" t="str">
        <f>CONCATENATE(VLOOKUP(C9,'Base clients'!B6:H189,4,FALSE)," ",VLOOKUP(C9,'Base clients'!B6:H189,5,FALSE)," | ",VLOOKUP(C9,'Base clients'!B6:M189,12,FALSE))</f>
        <v>75000 EXEMPLE DE BASE | Pays</v>
      </c>
      <c r="D12" s="189"/>
    </row>
    <row r="13" spans="1:7" ht="17" customHeight="1">
      <c r="A13" s="82"/>
      <c r="B13" s="27"/>
      <c r="C13" s="1996"/>
      <c r="D13" s="1996"/>
      <c r="E13" s="1997"/>
      <c r="F13" s="1997"/>
    </row>
    <row r="14" spans="1:7" s="31" customFormat="1" ht="12" customHeight="1">
      <c r="A14" s="28"/>
      <c r="B14" s="29"/>
      <c r="C14" s="307" t="str">
        <f>'Devis-Fact'!C15</f>
        <v>FR84 888 888 888 0080</v>
      </c>
      <c r="D14" s="307"/>
      <c r="E14" s="110">
        <f>'Devis-Fact'!D15</f>
        <v>0</v>
      </c>
      <c r="F14" s="308"/>
    </row>
    <row r="15" spans="1:7" ht="12" customHeight="1">
      <c r="C15" s="127"/>
      <c r="D15" s="127"/>
      <c r="E15" s="127"/>
    </row>
    <row r="16" spans="1:7" ht="68" customHeight="1">
      <c r="A16" s="2008"/>
      <c r="B16" s="2008"/>
      <c r="C16" s="2008"/>
      <c r="D16" s="2008"/>
      <c r="E16" s="2008"/>
      <c r="F16" s="2008"/>
    </row>
    <row r="17" spans="1:7" ht="50" customHeight="1">
      <c r="B17" s="81" t="s">
        <v>244</v>
      </c>
      <c r="C17" s="515">
        <f>'Devis-Fact'!B9</f>
        <v>0</v>
      </c>
      <c r="D17" s="515"/>
      <c r="E17" s="38"/>
      <c r="F17" s="38"/>
    </row>
    <row r="18" spans="1:7" ht="13" customHeight="1">
      <c r="A18" s="2008"/>
      <c r="B18" s="2008"/>
      <c r="C18" s="2008"/>
      <c r="D18" s="2008"/>
      <c r="E18" s="2008"/>
      <c r="F18" s="2008"/>
    </row>
    <row r="19" spans="1:7" ht="21" customHeight="1">
      <c r="A19" s="30"/>
      <c r="B19" s="558" t="str">
        <f>'Devis-Fact'!D66</f>
        <v>TOTAL RÉMUNÉRATION AUTEUR</v>
      </c>
      <c r="C19" s="559">
        <f>'Devis-Fact'!E66</f>
        <v>0</v>
      </c>
      <c r="D19" s="558"/>
      <c r="F19" s="312"/>
      <c r="G19" s="2002" t="s">
        <v>757</v>
      </c>
    </row>
    <row r="20" spans="1:7" ht="21" customHeight="1">
      <c r="A20" s="546"/>
      <c r="B20" s="558" t="str">
        <f>'Devis-Fact'!D67</f>
        <v>TOTAL RÉMUNÉRATIONS DES PRESTATAIRES</v>
      </c>
      <c r="C20" s="559">
        <f>'Devis-Fact'!E48+'Devis-Fact'!E49+'Devis-Fact'!E51</f>
        <v>0</v>
      </c>
      <c r="D20" s="558"/>
      <c r="F20" s="312"/>
      <c r="G20" s="2003"/>
    </row>
    <row r="21" spans="1:7" ht="21" customHeight="1">
      <c r="A21" s="59"/>
      <c r="B21" s="558" t="str">
        <f>'Devis-Fact'!D68</f>
        <v>TOTAL LOCATION ET FRAIS</v>
      </c>
      <c r="C21" s="559">
        <f>'Devis-Fact'!E68+'Devis-Fact'!E50</f>
        <v>0</v>
      </c>
      <c r="D21" s="558"/>
      <c r="F21" s="312"/>
      <c r="G21" s="2003"/>
    </row>
    <row r="22" spans="1:7" ht="21" customHeight="1">
      <c r="A22" s="59"/>
      <c r="B22" s="558" t="str">
        <f>'Devis-Fact'!D69</f>
        <v>TOTAL FRAIS DE DÉPLACEMENT</v>
      </c>
      <c r="C22" s="559">
        <f>'Devis-Fact'!E69</f>
        <v>24.119999999999997</v>
      </c>
      <c r="D22" s="558"/>
      <c r="F22" s="312"/>
      <c r="G22" s="2003"/>
    </row>
    <row r="23" spans="1:7" ht="21" customHeight="1">
      <c r="A23" s="59"/>
      <c r="B23" s="558" t="str">
        <f>'Devis-Fact'!D70</f>
        <v>TOTAL NET DE TVA</v>
      </c>
      <c r="C23" s="559">
        <f>'Devis-Fact'!E70</f>
        <v>24.119999999999997</v>
      </c>
      <c r="D23" s="558"/>
      <c r="F23" s="36"/>
      <c r="G23" s="2003"/>
    </row>
    <row r="24" spans="1:7" ht="17" customHeight="1">
      <c r="A24" s="59"/>
      <c r="B24" s="30"/>
      <c r="C24" s="560" t="str">
        <f>'Devis-Fact'!C72</f>
        <v/>
      </c>
      <c r="D24" s="561">
        <f>'Devis-Fact'!D72</f>
        <v>0</v>
      </c>
      <c r="E24" s="559">
        <f>'Devis-Fact'!E72</f>
        <v>0</v>
      </c>
      <c r="F24" s="36"/>
      <c r="G24" s="2003"/>
    </row>
    <row r="25" spans="1:7" ht="17" customHeight="1">
      <c r="A25" s="59"/>
      <c r="B25" s="569"/>
      <c r="C25" s="560" t="str">
        <f>'Devis-Fact'!C73</f>
        <v/>
      </c>
      <c r="D25" s="561" t="str">
        <f>'Devis-Fact'!D73</f>
        <v/>
      </c>
      <c r="E25" s="559" t="str">
        <f>'Devis-Fact'!E73</f>
        <v/>
      </c>
      <c r="F25" s="36"/>
      <c r="G25" s="2003"/>
    </row>
    <row r="26" spans="1:7" ht="17" customHeight="1">
      <c r="A26" s="59"/>
      <c r="B26" s="310"/>
      <c r="C26" s="558" t="str">
        <f>'Devis-Fact'!D75</f>
        <v/>
      </c>
      <c r="D26" s="558"/>
      <c r="E26" s="559">
        <f>'Devis-Fact'!E75</f>
        <v>0</v>
      </c>
      <c r="F26" s="36"/>
      <c r="G26" s="2004"/>
    </row>
    <row r="27" spans="1:7" ht="22" customHeight="1">
      <c r="A27" s="36"/>
      <c r="B27" s="36"/>
      <c r="C27" s="546"/>
      <c r="D27" s="546"/>
      <c r="E27" s="312"/>
      <c r="F27" s="36"/>
    </row>
    <row r="28" spans="1:7" s="31" customFormat="1" ht="24" customHeight="1">
      <c r="A28" s="76"/>
      <c r="B28" s="518"/>
      <c r="C28" s="519"/>
      <c r="D28" s="519"/>
      <c r="E28" s="564" t="str">
        <f>IF(E14="UE","Exo UE net de TVA",IF(E14="export","Exo export net de TVA",IF('Votre profil'!D11="oui","TTC","HT net de TVA")))</f>
        <v>HT net de TVA</v>
      </c>
      <c r="F28" s="129"/>
      <c r="G28" s="2005" t="s">
        <v>905</v>
      </c>
    </row>
    <row r="29" spans="1:7" s="31" customFormat="1" ht="23" customHeight="1">
      <c r="A29" s="76"/>
      <c r="B29" s="300"/>
      <c r="C29" s="556" t="str">
        <f>'Devis-Fact'!B81</f>
        <v>Acompte sur la rémunération du photographe</v>
      </c>
      <c r="D29" s="557">
        <f>'Devis-Fact'!C81</f>
        <v>0.2</v>
      </c>
      <c r="E29" s="564">
        <f>IF(E14="ue",'Devis-Fact'!A81,IF(E14="export",'Devis-Fact'!A81,'Devis-Fact'!D81))</f>
        <v>0</v>
      </c>
      <c r="F29" s="563"/>
      <c r="G29" s="2006"/>
    </row>
    <row r="30" spans="1:7" s="31" customFormat="1" ht="23" customHeight="1">
      <c r="A30" s="76"/>
      <c r="B30" s="518"/>
      <c r="C30" s="519" t="str">
        <f>'Devis-Fact'!C82</f>
        <v>Avance des frais de production</v>
      </c>
      <c r="D30" s="519"/>
      <c r="E30" s="564">
        <f>IF(E14="ue",'Devis-Fact'!A82,IF(E14="export",'Devis-Fact'!A82,'Devis-Fact'!D82))</f>
        <v>0</v>
      </c>
      <c r="F30" s="563"/>
      <c r="G30" s="2006"/>
    </row>
    <row r="31" spans="1:7" s="555" customFormat="1" ht="28" customHeight="1">
      <c r="A31" s="553"/>
      <c r="B31" s="597"/>
      <c r="C31" s="554" t="str">
        <f>'Devis-Fact'!C83</f>
        <v>Pour un total de :</v>
      </c>
      <c r="D31" s="554"/>
      <c r="E31" s="565" t="str">
        <f>IF(E14="ue",'Devis-Fact'!A83,IF(E14="export",'Devis-Fact'!A83,'Devis-Fact'!D83))</f>
        <v/>
      </c>
      <c r="F31" s="562"/>
      <c r="G31" s="2007"/>
    </row>
    <row r="32" spans="1:7" ht="18">
      <c r="A32" s="550"/>
      <c r="B32" s="550"/>
      <c r="C32" s="551"/>
      <c r="D32" s="551"/>
      <c r="E32" s="552"/>
      <c r="F32" s="36"/>
    </row>
    <row r="33" spans="1:7">
      <c r="A33" s="80"/>
      <c r="C33" s="33"/>
      <c r="D33" s="33"/>
      <c r="E33" s="146"/>
      <c r="F33" s="35"/>
    </row>
    <row r="34" spans="1:7" ht="24" customHeight="1">
      <c r="A34" s="80"/>
    </row>
    <row r="35" spans="1:7" ht="24" customHeight="1">
      <c r="A35" s="1999" t="str">
        <f>'Devis-Fact'!A86</f>
        <v>TVA NON APPLICABLE, Art 293 b du CGI</v>
      </c>
      <c r="B35" s="2000"/>
      <c r="C35" s="2000"/>
      <c r="D35" s="2000"/>
      <c r="E35" s="2000"/>
      <c r="F35" s="2000"/>
    </row>
    <row r="36" spans="1:7" ht="19" customHeight="1">
      <c r="A36" s="2001" t="s">
        <v>766</v>
      </c>
      <c r="B36" s="2000"/>
      <c r="C36" s="2000"/>
      <c r="D36" s="2000"/>
      <c r="E36" s="2000"/>
      <c r="F36" s="2000"/>
      <c r="G36" s="2000"/>
    </row>
    <row r="37" spans="1:7" s="31" customFormat="1" ht="16" customHeight="1">
      <c r="E37" s="23"/>
    </row>
    <row r="38" spans="1:7" ht="11" customHeight="1"/>
    <row r="40" spans="1:7" ht="31" customHeight="1">
      <c r="A40" s="1998" t="s">
        <v>902</v>
      </c>
      <c r="B40" s="1998"/>
      <c r="C40" s="1998"/>
      <c r="D40" s="1998"/>
      <c r="E40" s="1998"/>
      <c r="F40" s="1998"/>
    </row>
    <row r="41" spans="1:7" ht="14" customHeight="1">
      <c r="A41" s="1990" t="s">
        <v>280</v>
      </c>
      <c r="B41" s="1990"/>
      <c r="C41" s="1990"/>
      <c r="D41" s="1990"/>
      <c r="E41" s="1990"/>
      <c r="F41" s="1990"/>
    </row>
    <row r="42" spans="1:7" s="37" customFormat="1" ht="16" customHeight="1">
      <c r="A42" s="1988" t="s">
        <v>930</v>
      </c>
      <c r="B42" s="1989"/>
      <c r="C42" s="1989"/>
      <c r="D42" s="1989"/>
      <c r="E42" s="1989"/>
      <c r="F42" s="1989"/>
    </row>
    <row r="43" spans="1:7" s="37" customFormat="1" ht="31" customHeight="1">
      <c r="A43" s="1986" t="s">
        <v>743</v>
      </c>
      <c r="B43" s="1987"/>
      <c r="C43" s="1987"/>
      <c r="D43" s="1987"/>
      <c r="E43" s="1987"/>
      <c r="F43" s="1987"/>
    </row>
    <row r="44" spans="1:7" s="37" customFormat="1" ht="16" customHeight="1">
      <c r="A44" s="99"/>
      <c r="B44" s="23"/>
      <c r="C44" s="23"/>
      <c r="D44" s="23"/>
      <c r="E44" s="23"/>
      <c r="F44" s="23"/>
    </row>
    <row r="45" spans="1:7" s="37" customFormat="1" ht="17" customHeight="1"/>
  </sheetData>
  <mergeCells count="14">
    <mergeCell ref="A43:F43"/>
    <mergeCell ref="A42:F42"/>
    <mergeCell ref="A41:F41"/>
    <mergeCell ref="C9:E9"/>
    <mergeCell ref="C10:E10"/>
    <mergeCell ref="C11:E11"/>
    <mergeCell ref="C13:F13"/>
    <mergeCell ref="A40:F40"/>
    <mergeCell ref="A35:F35"/>
    <mergeCell ref="A36:G36"/>
    <mergeCell ref="G19:G26"/>
    <mergeCell ref="G28:G31"/>
    <mergeCell ref="A16:F16"/>
    <mergeCell ref="A18:F18"/>
  </mergeCells>
  <phoneticPr fontId="50" type="noConversion"/>
  <conditionalFormatting sqref="E14 C19:C23 E24:E31 F29:F31 F19:F22">
    <cfRule type="cellIs" dxfId="87" priority="0" stopIfTrue="1" operator="equal">
      <formula>0</formula>
    </cfRule>
  </conditionalFormatting>
  <printOptions horizontalCentered="1" verticalCentered="1"/>
  <pageMargins left="0.92" right="0.39" top="0.4" bottom="0.59" header="0.39" footer="0.46"/>
  <pageSetup paperSize="10" scale="56" orientation="portrait" horizontalDpi="4294967294" verticalDpi="4294967294"/>
  <ignoredErrors>
    <ignoredError sqref="F37 B11 A6 C17 E14:F14 E11:F12 A3:C3 C10:C12 C2 E28:E29" emptyCellReference="1"/>
  </ignoredErrors>
  <extLst>
    <ext xmlns:mx="http://schemas.microsoft.com/office/mac/excel/2008/main" uri="http://schemas.microsoft.com/office/mac/excel/2008/main">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55"/>
  <sheetViews>
    <sheetView showGridLines="0" view="pageLayout" topLeftCell="A7" workbookViewId="0">
      <selection activeCell="A40" sqref="A40:L40"/>
    </sheetView>
  </sheetViews>
  <sheetFormatPr baseColWidth="10" defaultRowHeight="18"/>
  <cols>
    <col min="1" max="1" width="10.5" style="72" customWidth="1"/>
    <col min="2" max="2" width="7.5" style="72" customWidth="1"/>
    <col min="3" max="3" width="16" style="72" customWidth="1"/>
    <col min="4" max="4" width="23.5" style="72" customWidth="1"/>
    <col min="5" max="5" width="7.25" style="72" customWidth="1"/>
    <col min="6" max="6" width="7.5" style="72" customWidth="1"/>
    <col min="7" max="7" width="14.625" style="72" hidden="1" customWidth="1"/>
    <col min="8" max="8" width="2.125" style="72" customWidth="1"/>
    <col min="9" max="9" width="4.5" style="72" customWidth="1"/>
    <col min="10" max="10" width="10.625" style="72"/>
    <col min="11" max="11" width="24.125" style="72" customWidth="1"/>
    <col min="12" max="12" width="10" style="72" customWidth="1"/>
    <col min="13" max="16384" width="10.625" style="72"/>
  </cols>
  <sheetData>
    <row r="1" spans="1:18" s="5" customFormat="1" ht="19" customHeight="1">
      <c r="A1" s="2009" t="str">
        <f>IF('Votre profil'!A35="x","ANNEXE à la facture N° : ","ANNEXE  au devis N° : ")&amp;" "&amp; 'Devis-Fact'!B9</f>
        <v xml:space="preserve">ANNEXE  au devis N° :  </v>
      </c>
      <c r="B1" s="2009"/>
      <c r="C1" s="2009"/>
      <c r="D1" s="2009"/>
      <c r="E1" s="2009"/>
      <c r="F1" s="2009"/>
      <c r="G1" s="2009"/>
      <c r="H1" s="2010"/>
      <c r="I1" s="2010"/>
      <c r="J1" s="2010"/>
      <c r="K1" s="2010"/>
      <c r="L1" s="2011"/>
    </row>
    <row r="2" spans="1:18" ht="14" customHeight="1"/>
    <row r="3" spans="1:18" ht="22" customHeight="1">
      <c r="A3" s="2027" t="s">
        <v>862</v>
      </c>
      <c r="B3" s="2027"/>
      <c r="C3" s="2028"/>
      <c r="D3" s="2027"/>
      <c r="E3" s="2027"/>
      <c r="F3" s="2027"/>
      <c r="G3" s="2027"/>
      <c r="H3" s="2029"/>
      <c r="I3" s="2029"/>
      <c r="J3" s="2029"/>
      <c r="K3" s="2029"/>
      <c r="L3" s="2030"/>
    </row>
    <row r="4" spans="1:18" s="5" customFormat="1" ht="52" customHeight="1">
      <c r="A4" s="2012" t="str">
        <f>IF('Votre profil'!A35="x","","Pour que la prestation puisse commencer, la présente annexe doit être validée par la signature du responsable du dossier qui engage son entreprise pour un paiement et un déroulement conforme au devis chiffré indiqué en référence ci-dessus.")</f>
        <v>Pour que la prestation puisse commencer, la présente annexe doit être validée par la signature du responsable du dossier qui engage son entreprise pour un paiement et un déroulement conforme au devis chiffré indiqué en référence ci-dessus.</v>
      </c>
      <c r="B4" s="2019"/>
      <c r="C4" s="2019"/>
      <c r="D4" s="2019"/>
      <c r="E4" s="2019"/>
      <c r="F4" s="2019"/>
      <c r="G4" s="2019"/>
      <c r="H4" s="2019"/>
      <c r="I4" s="2019"/>
      <c r="J4" s="2019"/>
      <c r="K4" s="2019"/>
      <c r="L4" s="2013"/>
      <c r="M4" s="926"/>
      <c r="N4" s="926"/>
      <c r="O4" s="926"/>
      <c r="P4" s="926"/>
      <c r="Q4" s="926"/>
      <c r="R4" s="926"/>
    </row>
    <row r="5" spans="1:18" ht="22" customHeight="1">
      <c r="A5" s="917" t="s">
        <v>1037</v>
      </c>
      <c r="B5" s="150"/>
      <c r="C5" s="150"/>
      <c r="D5" s="150"/>
      <c r="E5" s="150"/>
      <c r="F5" s="150"/>
      <c r="G5" s="150"/>
      <c r="H5" s="150"/>
      <c r="I5" s="150"/>
      <c r="J5" s="77"/>
      <c r="K5" s="77"/>
    </row>
    <row r="6" spans="1:18" ht="40" customHeight="1">
      <c r="A6" s="2020" t="str">
        <f>IF('Votre profil'!A35="x","","Tout délai d'approbation trop long entrainera un décalage de la date de livraison. Toute prestation supplémentaire demandée en cours d'exécution de la prestation initiale donnera lieu à facturation même en l'absence de devis.")</f>
        <v>Tout délai d'approbation trop long entrainera un décalage de la date de livraison. Toute prestation supplémentaire demandée en cours d'exécution de la prestation initiale donnera lieu à facturation même en l'absence de devis.</v>
      </c>
      <c r="B6" s="2021"/>
      <c r="C6" s="2021"/>
      <c r="D6" s="2021"/>
      <c r="E6" s="2021"/>
      <c r="F6" s="2021"/>
      <c r="G6" s="2021"/>
      <c r="H6" s="2021"/>
      <c r="I6" s="2021"/>
      <c r="J6" s="2021"/>
      <c r="K6" s="2021"/>
      <c r="L6" s="2022"/>
    </row>
    <row r="7" spans="1:18" s="5" customFormat="1" ht="64" customHeight="1">
      <c r="A7" s="2012" t="s">
        <v>441</v>
      </c>
      <c r="B7" s="2015"/>
      <c r="C7" s="2015"/>
      <c r="D7" s="2015"/>
      <c r="E7" s="2015"/>
      <c r="F7" s="2015"/>
      <c r="G7" s="2015"/>
      <c r="H7" s="2015"/>
      <c r="I7" s="2015"/>
      <c r="J7" s="2015"/>
      <c r="K7" s="2015"/>
      <c r="L7" s="2013"/>
      <c r="M7" s="926"/>
      <c r="N7" s="926"/>
      <c r="O7" s="926"/>
      <c r="P7" s="926"/>
      <c r="Q7" s="926"/>
      <c r="R7" s="926"/>
    </row>
    <row r="8" spans="1:18" s="5" customFormat="1" ht="16" customHeight="1">
      <c r="A8" s="918" t="s">
        <v>303</v>
      </c>
      <c r="B8" s="545"/>
      <c r="C8" s="545"/>
      <c r="D8" s="545"/>
      <c r="E8" s="545"/>
      <c r="F8" s="545"/>
      <c r="G8" s="545"/>
      <c r="H8" s="545"/>
      <c r="I8" s="545"/>
      <c r="J8" s="545"/>
      <c r="K8" s="545"/>
      <c r="L8" s="926"/>
      <c r="M8" s="926"/>
      <c r="N8" s="926"/>
      <c r="O8" s="926"/>
      <c r="P8" s="926"/>
      <c r="Q8" s="926"/>
      <c r="R8" s="926"/>
    </row>
    <row r="9" spans="1:18" s="5" customFormat="1" ht="86.25" customHeight="1">
      <c r="A9" s="2016" t="s">
        <v>824</v>
      </c>
      <c r="B9" s="2026"/>
      <c r="C9" s="2026"/>
      <c r="D9" s="2026"/>
      <c r="E9" s="2026"/>
      <c r="F9" s="2026"/>
      <c r="G9" s="2026"/>
      <c r="H9" s="2026"/>
      <c r="I9" s="2026"/>
      <c r="J9" s="2026"/>
      <c r="K9" s="2026"/>
      <c r="L9" s="2026"/>
      <c r="M9" s="926"/>
      <c r="N9" s="926"/>
      <c r="O9" s="926"/>
      <c r="P9" s="926"/>
      <c r="Q9" s="926"/>
      <c r="R9" s="926"/>
    </row>
    <row r="10" spans="1:18" s="36" customFormat="1" ht="19" customHeight="1">
      <c r="A10" s="918" t="s">
        <v>764</v>
      </c>
      <c r="B10" s="78"/>
      <c r="C10" s="78"/>
      <c r="D10" s="78"/>
      <c r="E10" s="78"/>
      <c r="F10" s="78"/>
      <c r="G10" s="78"/>
      <c r="H10" s="78"/>
      <c r="I10" s="78"/>
      <c r="J10" s="78"/>
      <c r="K10" s="78"/>
      <c r="L10" s="927"/>
      <c r="M10" s="927"/>
      <c r="N10" s="927"/>
      <c r="O10" s="927"/>
      <c r="P10" s="927"/>
      <c r="Q10" s="927"/>
      <c r="R10" s="927"/>
    </row>
    <row r="11" spans="1:18" ht="43" customHeight="1">
      <c r="A11" s="2012" t="s">
        <v>1149</v>
      </c>
      <c r="B11" s="2015"/>
      <c r="C11" s="2015"/>
      <c r="D11" s="2015"/>
      <c r="E11" s="2015"/>
      <c r="F11" s="2015"/>
      <c r="G11" s="2015"/>
      <c r="H11" s="2015"/>
      <c r="I11" s="2015"/>
      <c r="J11" s="2015"/>
      <c r="K11" s="2015"/>
      <c r="L11" s="2013"/>
    </row>
    <row r="12" spans="1:18" ht="25" customHeight="1">
      <c r="A12" s="2023" t="s">
        <v>593</v>
      </c>
      <c r="B12" s="2013"/>
      <c r="C12" s="2013"/>
      <c r="D12" s="2013"/>
      <c r="E12" s="2013"/>
      <c r="F12" s="2013"/>
      <c r="G12" s="2013"/>
      <c r="H12" s="2013"/>
      <c r="I12" s="2013"/>
      <c r="J12" s="2013"/>
      <c r="K12" s="2013"/>
      <c r="L12" s="2013"/>
      <c r="M12" s="327"/>
      <c r="N12" s="327"/>
      <c r="O12" s="327"/>
      <c r="P12" s="327"/>
      <c r="Q12" s="327"/>
      <c r="R12" s="327"/>
    </row>
    <row r="13" spans="1:18" s="74" customFormat="1" ht="25" customHeight="1">
      <c r="A13" s="919" t="s">
        <v>86</v>
      </c>
      <c r="B13" s="917" t="s">
        <v>750</v>
      </c>
      <c r="C13" s="2024" t="str">
        <f>'Devis-Fact'!A1</f>
        <v>Leo PERATEUR</v>
      </c>
      <c r="D13" s="2025"/>
      <c r="E13" s="71"/>
      <c r="F13" s="71"/>
      <c r="G13" s="71"/>
      <c r="H13" s="71"/>
      <c r="I13" s="71"/>
      <c r="J13" s="71"/>
      <c r="K13" s="71"/>
    </row>
    <row r="14" spans="1:18" ht="25" customHeight="1">
      <c r="A14" s="919" t="s">
        <v>872</v>
      </c>
      <c r="B14" s="77"/>
      <c r="C14" s="77"/>
      <c r="D14" s="77"/>
      <c r="E14" s="77"/>
      <c r="F14" s="77"/>
      <c r="G14" s="77"/>
      <c r="H14" s="77"/>
      <c r="I14" s="77"/>
      <c r="J14" s="77"/>
      <c r="K14" s="77"/>
    </row>
    <row r="15" spans="1:18" ht="86.25" customHeight="1">
      <c r="A15" s="2012" t="s">
        <v>578</v>
      </c>
      <c r="B15" s="2015"/>
      <c r="C15" s="2015"/>
      <c r="D15" s="2015"/>
      <c r="E15" s="2015"/>
      <c r="F15" s="2015"/>
      <c r="G15" s="2015"/>
      <c r="H15" s="2015"/>
      <c r="I15" s="2015"/>
      <c r="J15" s="2015"/>
      <c r="K15" s="2015"/>
      <c r="L15" s="2013"/>
    </row>
    <row r="16" spans="1:18" s="36" customFormat="1" ht="21" customHeight="1">
      <c r="A16" s="918" t="s">
        <v>667</v>
      </c>
      <c r="B16" s="78"/>
      <c r="C16" s="78"/>
      <c r="D16" s="78"/>
      <c r="E16" s="78"/>
      <c r="F16" s="78"/>
      <c r="G16" s="78"/>
      <c r="H16" s="78"/>
      <c r="I16" s="78"/>
      <c r="J16" s="78"/>
      <c r="K16" s="78"/>
      <c r="L16" s="927"/>
      <c r="M16" s="927"/>
      <c r="N16" s="927"/>
      <c r="O16" s="927"/>
      <c r="P16" s="927"/>
      <c r="Q16" s="927"/>
      <c r="R16" s="927"/>
    </row>
    <row r="17" spans="1:12" s="5" customFormat="1" ht="54" customHeight="1">
      <c r="A17" s="2012" t="s">
        <v>658</v>
      </c>
      <c r="B17" s="2015"/>
      <c r="C17" s="2015"/>
      <c r="D17" s="2015"/>
      <c r="E17" s="2015"/>
      <c r="F17" s="2015"/>
      <c r="G17" s="2015"/>
      <c r="H17" s="2015"/>
      <c r="I17" s="2015"/>
      <c r="J17" s="2015"/>
      <c r="K17" s="2015"/>
      <c r="L17" s="2013"/>
    </row>
    <row r="18" spans="1:12" s="5" customFormat="1" ht="54" customHeight="1">
      <c r="A18" s="2012" t="s">
        <v>947</v>
      </c>
      <c r="B18" s="2012"/>
      <c r="C18" s="2012"/>
      <c r="D18" s="2012"/>
      <c r="E18" s="2012"/>
      <c r="F18" s="2012"/>
      <c r="G18" s="2012"/>
      <c r="H18" s="2012"/>
      <c r="I18" s="2012"/>
      <c r="J18" s="2012"/>
      <c r="K18" s="2012"/>
      <c r="L18" s="2013"/>
    </row>
    <row r="19" spans="1:12" ht="38" customHeight="1">
      <c r="A19" s="2012" t="s">
        <v>1049</v>
      </c>
      <c r="B19" s="2014"/>
      <c r="C19" s="2014"/>
      <c r="D19" s="2014"/>
      <c r="E19" s="2014"/>
      <c r="F19" s="2014"/>
      <c r="G19" s="2014"/>
      <c r="H19" s="2014"/>
      <c r="I19" s="2014"/>
      <c r="J19" s="2014"/>
      <c r="K19" s="2014"/>
      <c r="L19" s="2013"/>
    </row>
    <row r="20" spans="1:12" s="1055" customFormat="1" ht="56" customHeight="1">
      <c r="A20" s="2012" t="s">
        <v>1112</v>
      </c>
      <c r="B20" s="2046"/>
      <c r="C20" s="2046"/>
      <c r="D20" s="2046"/>
      <c r="E20" s="2046"/>
      <c r="F20" s="2046"/>
      <c r="G20" s="2046"/>
      <c r="H20" s="2046"/>
      <c r="I20" s="2046"/>
      <c r="J20" s="2046"/>
      <c r="K20" s="2046"/>
      <c r="L20" s="2046"/>
    </row>
    <row r="21" spans="1:12" s="36" customFormat="1" ht="22" customHeight="1">
      <c r="A21" s="924" t="s">
        <v>488</v>
      </c>
      <c r="B21" s="920"/>
      <c r="C21" s="78"/>
      <c r="D21" s="78"/>
      <c r="E21" s="78"/>
      <c r="F21" s="78"/>
      <c r="G21" s="78"/>
      <c r="H21" s="78"/>
      <c r="I21" s="78"/>
      <c r="J21" s="78"/>
      <c r="K21" s="78"/>
      <c r="L21" s="927"/>
    </row>
    <row r="22" spans="1:12" ht="38" customHeight="1">
      <c r="A22" s="2012" t="s">
        <v>379</v>
      </c>
      <c r="B22" s="2015"/>
      <c r="C22" s="2015"/>
      <c r="D22" s="2015"/>
      <c r="E22" s="2015"/>
      <c r="F22" s="2015"/>
      <c r="G22" s="2015"/>
      <c r="H22" s="2015"/>
      <c r="I22" s="2015"/>
      <c r="J22" s="2015"/>
      <c r="K22" s="2015"/>
      <c r="L22" s="2013"/>
    </row>
    <row r="23" spans="1:12" s="36" customFormat="1" ht="21" customHeight="1">
      <c r="A23" s="921" t="str">
        <f>IF('Votre profil'!A35="x","","• Résiliation du devis après acceptation confirmée par un mail, un bon de commande ou tout autre moyen:")</f>
        <v>• Résiliation du devis après acceptation confirmée par un mail, un bon de commande ou tout autre moyen:</v>
      </c>
      <c r="B23" s="344"/>
      <c r="C23" s="344"/>
      <c r="D23" s="344"/>
      <c r="E23" s="344"/>
      <c r="F23" s="344"/>
      <c r="G23" s="344"/>
      <c r="H23" s="344"/>
      <c r="I23" s="344"/>
      <c r="J23" s="344"/>
      <c r="K23" s="344"/>
      <c r="L23" s="345"/>
    </row>
    <row r="24" spans="1:12" s="1832" customFormat="1" ht="21" customHeight="1">
      <c r="A24" s="922" t="str">
        <f>IF('Votre profil'!A35="x","","L'annulation du fait du Client après validation du devis donne lieu au versement au Photographe des indemnités suivantes :")</f>
        <v>L'annulation du fait du Client après validation du devis donne lieu au versement au Photographe des indemnités suivantes :</v>
      </c>
      <c r="B24" s="344"/>
      <c r="C24" s="344"/>
      <c r="D24" s="344"/>
      <c r="E24" s="344"/>
      <c r="F24" s="344"/>
      <c r="G24" s="344"/>
      <c r="H24" s="344"/>
      <c r="I24" s="344"/>
      <c r="J24" s="344"/>
      <c r="K24" s="344"/>
      <c r="L24" s="345"/>
    </row>
    <row r="25" spans="1:12" s="36" customFormat="1" ht="35" customHeight="1">
      <c r="A25" s="2016" t="str">
        <f>IF('Votre profil'!A35="x","","Si l’annulation est notifiée plus de 4 jours ouvrés avant le début prévu de la prestation (jour où débute la conception ou la préparation) : 50 % du Prix et l’intégralité des dépenses et frais engagés, hors droits.")</f>
        <v>Si l’annulation est notifiée plus de 4 jours ouvrés avant le début prévu de la prestation (jour où débute la conception ou la préparation) : 50 % du Prix et l’intégralité des dépenses et frais engagés, hors droits.</v>
      </c>
      <c r="B25" s="2017"/>
      <c r="C25" s="2017"/>
      <c r="D25" s="2017"/>
      <c r="E25" s="2017"/>
      <c r="F25" s="2017"/>
      <c r="G25" s="2017"/>
      <c r="H25" s="2017"/>
      <c r="I25" s="2017"/>
      <c r="J25" s="2017"/>
      <c r="K25" s="2017"/>
      <c r="L25" s="2017"/>
    </row>
    <row r="26" spans="1:12" ht="20" customHeight="1">
      <c r="A26" s="2016" t="str">
        <f>IF('Votre profil'!A35="x","","Si l’annulation est notifiée moins de 4 jours ouvrés avant le début de la prestation : 100 % du Prix et l’intégralité des dépenses et frais engagés, hors droits ;")</f>
        <v>Si l’annulation est notifiée moins de 4 jours ouvrés avant le début de la prestation : 100 % du Prix et l’intégralité des dépenses et frais engagés, hors droits ;</v>
      </c>
      <c r="B26" s="2017"/>
      <c r="C26" s="2017"/>
      <c r="D26" s="2017"/>
      <c r="E26" s="2017"/>
      <c r="F26" s="2017"/>
      <c r="G26" s="2017"/>
      <c r="H26" s="2017"/>
      <c r="I26" s="2017"/>
      <c r="J26" s="2017"/>
      <c r="K26" s="2017"/>
      <c r="L26" s="2018"/>
    </row>
    <row r="27" spans="1:12" s="1833" customFormat="1" ht="20" customHeight="1">
      <c r="A27" s="2016" t="str">
        <f>IF('Votre profil'!A36="x","","si l’annulation est notifiée après le début de la prestation : 100 % du Prix, des droits et l’intégralité des dépenses et frais engagés.")</f>
        <v>si l’annulation est notifiée après le début de la prestation : 100 % du Prix, des droits et l’intégralité des dépenses et frais engagés.</v>
      </c>
      <c r="B27" s="2017"/>
      <c r="C27" s="2017"/>
      <c r="D27" s="2017"/>
      <c r="E27" s="2017"/>
      <c r="F27" s="2017"/>
      <c r="G27" s="2017"/>
      <c r="H27" s="2017"/>
      <c r="I27" s="2017"/>
      <c r="J27" s="2017"/>
      <c r="K27" s="2017"/>
      <c r="L27" s="2018"/>
    </row>
    <row r="28" spans="1:12" ht="37" customHeight="1">
      <c r="A28" s="2037" t="str">
        <f>IF('Votre profil'!A35="x","","Si la prestation n'est pas exécutée selon le planning prévu, le devis sera considéré comme résilié, en l'absence de planning c'est la date limite du devis qui sera utilisé pour déclencher la pénalité et remboursement des frais restant.")</f>
        <v>Si la prestation n'est pas exécutée selon le planning prévu, le devis sera considéré comme résilié, en l'absence de planning c'est la date limite du devis qui sera utilisé pour déclencher la pénalité et remboursement des frais restant.</v>
      </c>
      <c r="B28" s="2047"/>
      <c r="C28" s="2047"/>
      <c r="D28" s="2047"/>
      <c r="E28" s="2047"/>
      <c r="F28" s="2047"/>
      <c r="G28" s="2047"/>
      <c r="H28" s="2047"/>
      <c r="I28" s="2047"/>
      <c r="J28" s="2047"/>
      <c r="K28" s="2047"/>
      <c r="L28" s="2047"/>
    </row>
    <row r="29" spans="1:12" ht="24" customHeight="1">
      <c r="A29" s="921" t="s">
        <v>778</v>
      </c>
      <c r="B29" s="150"/>
      <c r="C29" s="150"/>
      <c r="D29" s="150"/>
      <c r="E29" s="150"/>
      <c r="F29" s="150"/>
      <c r="G29" s="150"/>
      <c r="H29" s="150"/>
      <c r="I29" s="150"/>
      <c r="J29" s="150"/>
      <c r="K29" s="150"/>
      <c r="L29" s="346"/>
    </row>
    <row r="30" spans="1:12" s="36" customFormat="1" ht="60" customHeight="1">
      <c r="A30" s="2012" t="s">
        <v>718</v>
      </c>
      <c r="B30" s="2019"/>
      <c r="C30" s="2019"/>
      <c r="D30" s="2019"/>
      <c r="E30" s="2019"/>
      <c r="F30" s="2019"/>
      <c r="G30" s="2019"/>
      <c r="H30" s="2019"/>
      <c r="I30" s="2019"/>
      <c r="J30" s="2019"/>
      <c r="K30" s="2019"/>
      <c r="L30" s="2013"/>
    </row>
    <row r="31" spans="1:12" ht="41" customHeight="1">
      <c r="A31" s="2012" t="s">
        <v>149</v>
      </c>
      <c r="B31" s="2019"/>
      <c r="C31" s="2019"/>
      <c r="D31" s="2019"/>
      <c r="E31" s="2019"/>
      <c r="F31" s="2019"/>
      <c r="G31" s="2019"/>
      <c r="H31" s="2019"/>
      <c r="I31" s="2019"/>
      <c r="J31" s="2019"/>
      <c r="K31" s="2019"/>
      <c r="L31" s="2013"/>
    </row>
    <row r="32" spans="1:12" s="5" customFormat="1" ht="29" customHeight="1">
      <c r="A32" s="2031" t="s">
        <v>841</v>
      </c>
      <c r="B32" s="2032"/>
      <c r="C32" s="2032"/>
      <c r="D32" s="2032"/>
      <c r="E32" s="2032"/>
      <c r="F32" s="2032"/>
      <c r="G32" s="2032"/>
      <c r="H32" s="2032"/>
      <c r="I32" s="2032"/>
      <c r="J32" s="2032"/>
      <c r="K32" s="2032"/>
      <c r="L32" s="2033"/>
    </row>
    <row r="33" spans="1:12" ht="28" customHeight="1">
      <c r="A33" s="2034" t="str">
        <f>IF('Votre profil'!D2="oui","Membre d’une association de gestion agréée par l’administration fiscale acceptant les réglements par chèque libellés à son nom","")</f>
        <v/>
      </c>
      <c r="B33" s="2035"/>
      <c r="C33" s="2035"/>
      <c r="D33" s="2035"/>
      <c r="E33" s="2035"/>
      <c r="F33" s="2035"/>
      <c r="G33" s="2035"/>
      <c r="H33" s="2035"/>
      <c r="I33" s="2035"/>
      <c r="J33" s="2035"/>
      <c r="K33" s="2035"/>
      <c r="L33" s="2036"/>
    </row>
    <row r="34" spans="1:12" s="5" customFormat="1" ht="26" customHeight="1">
      <c r="A34" s="2031" t="str">
        <f>IF('Votre profil'!D11="non","TVA non applicable, article 293B du CGI","TVA en sus au taux légal en vigueur.")</f>
        <v>TVA non applicable, article 293B du CGI</v>
      </c>
      <c r="B34" s="2032"/>
      <c r="C34" s="2032"/>
      <c r="D34" s="2032"/>
      <c r="E34" s="2032"/>
      <c r="F34" s="2032"/>
      <c r="G34" s="2032"/>
      <c r="H34" s="2032"/>
      <c r="I34" s="2032"/>
      <c r="J34" s="2032"/>
      <c r="K34" s="2032"/>
      <c r="L34" s="2033"/>
    </row>
    <row r="35" spans="1:12" ht="10" customHeight="1">
      <c r="A35" s="73"/>
      <c r="B35" s="73"/>
      <c r="C35" s="73"/>
      <c r="D35" s="73"/>
      <c r="E35" s="73"/>
      <c r="F35" s="73"/>
      <c r="G35" s="73"/>
      <c r="H35" s="73"/>
      <c r="I35" s="73"/>
      <c r="J35" s="73"/>
      <c r="K35" s="73"/>
    </row>
    <row r="36" spans="1:12">
      <c r="A36" s="923" t="str">
        <f>IF('Votre profil'!D8="","","• Environnement fiscal et social spécifique aux auteurs photographes :")</f>
        <v>• Environnement fiscal et social spécifique aux auteurs photographes :</v>
      </c>
      <c r="B36" s="73"/>
      <c r="C36" s="73"/>
      <c r="D36" s="73"/>
      <c r="E36" s="73"/>
      <c r="F36" s="73"/>
      <c r="G36" s="73"/>
      <c r="H36" s="73"/>
      <c r="I36" s="73"/>
      <c r="J36" s="73"/>
      <c r="K36" s="73"/>
    </row>
    <row r="37" spans="1:12" s="5" customFormat="1" ht="47" customHeight="1">
      <c r="A37" s="2012" t="str">
        <f>IF('Votre profil'!D8="","Les photo ne sont pas libres de droit, se réferer aux limites indiquées sur la facture. Toute autre utilisation devra faire l'objet d'un contrat de cession spécifique.","Auteur percevant des revenus artistiques au titre des BNC et dispensé de précompte (Formulaire Siren sur demande). Une facture d'auteur est assimilée à un contrat de cession de droits. Son règlement vaut acceptation des conditions de diffusions.")</f>
        <v>Auteur percevant des revenus artistiques au titre des BNC et dispensé de précompte (Formulaire Siren sur demande). Une facture d'auteur est assimilée à un contrat de cession de droits. Son règlement vaut acceptation des conditions de diffusions.</v>
      </c>
      <c r="B37" s="2012"/>
      <c r="C37" s="2012"/>
      <c r="D37" s="2012"/>
      <c r="E37" s="2012"/>
      <c r="F37" s="2012"/>
      <c r="G37" s="2012"/>
      <c r="H37" s="2012"/>
      <c r="I37" s="2012"/>
      <c r="J37" s="2012"/>
      <c r="K37" s="2012"/>
      <c r="L37" s="2013"/>
    </row>
    <row r="38" spans="1:12" s="5" customFormat="1" ht="43" customHeight="1">
      <c r="A38" s="2012" t="str">
        <f>IF('Devis-Fact'!D15="export","",IF('Devis-Fact'!D15="Ue","",IF('Votre profil'!D8="x","Après s'être inscrit sur le site www.artistes-auteurs.urssaf.fr, le client (utilisateur-diffuseur) est tenu de verser en sus, une contribution de 1,1% du montant HT de la rémunération artistique, soit : "&amp;ROUND('Devis-Fact'!E66*0.011,0)&amp;" euros","")))</f>
        <v>Après s'être inscrit sur le site www.artistes-auteurs.urssaf.fr, le client (utilisateur-diffuseur) est tenu de verser en sus, une contribution de 1,1% du montant HT de la rémunération artistique, soit : 0 euros</v>
      </c>
      <c r="B38" s="2015"/>
      <c r="C38" s="2015"/>
      <c r="D38" s="2015"/>
      <c r="E38" s="2015"/>
      <c r="F38" s="2015"/>
      <c r="G38" s="2015"/>
      <c r="H38" s="2015"/>
      <c r="I38" s="2015"/>
      <c r="J38" s="2015"/>
      <c r="K38" s="2015"/>
      <c r="L38" s="2013"/>
    </row>
    <row r="39" spans="1:12" ht="17" customHeight="1">
      <c r="A39" s="70"/>
      <c r="B39" s="73"/>
      <c r="C39" s="73"/>
      <c r="D39" s="73"/>
      <c r="E39" s="73"/>
      <c r="F39" s="73"/>
      <c r="G39" s="73"/>
      <c r="H39" s="73"/>
      <c r="I39" s="73"/>
      <c r="J39" s="73"/>
      <c r="K39" s="73"/>
    </row>
    <row r="40" spans="1:12" s="36" customFormat="1" ht="57" customHeight="1">
      <c r="A40" s="2037" t="s">
        <v>1091</v>
      </c>
      <c r="B40" s="2037"/>
      <c r="C40" s="2037"/>
      <c r="D40" s="2037"/>
      <c r="E40" s="2037"/>
      <c r="F40" s="2037"/>
      <c r="G40" s="2037"/>
      <c r="H40" s="2037"/>
      <c r="I40" s="2037"/>
      <c r="J40" s="2037"/>
      <c r="K40" s="2037"/>
      <c r="L40" s="2038"/>
    </row>
    <row r="41" spans="1:12" s="36" customFormat="1" ht="7" customHeight="1">
      <c r="A41" s="347"/>
      <c r="B41" s="347"/>
      <c r="C41" s="347"/>
      <c r="D41" s="347"/>
      <c r="E41" s="347"/>
      <c r="F41" s="347"/>
      <c r="G41" s="347"/>
      <c r="H41" s="347"/>
      <c r="I41" s="347"/>
      <c r="J41" s="347"/>
      <c r="K41" s="347"/>
      <c r="L41" s="927"/>
    </row>
    <row r="42" spans="1:12" ht="27" customHeight="1">
      <c r="A42" s="2045"/>
      <c r="B42" s="2045"/>
      <c r="C42" s="2045"/>
      <c r="D42" s="2045"/>
      <c r="E42" s="2045"/>
      <c r="F42" s="2045"/>
      <c r="I42" s="916"/>
      <c r="J42" s="2039"/>
      <c r="K42" s="2040"/>
      <c r="L42" s="2041"/>
    </row>
    <row r="44" spans="1:12" ht="29" customHeight="1">
      <c r="A44" s="925" t="str">
        <f>IF('Votre profil'!A35="x","","Signature accompagnée de la date et de la mention")</f>
        <v>Signature accompagnée de la date et de la mention</v>
      </c>
      <c r="B44" s="76"/>
      <c r="C44" s="76"/>
      <c r="D44" s="76"/>
      <c r="E44" s="76"/>
      <c r="F44" s="76"/>
      <c r="G44" s="76"/>
      <c r="H44" s="76"/>
      <c r="I44" s="76"/>
      <c r="J44" s="76"/>
      <c r="K44" s="76"/>
    </row>
    <row r="45" spans="1:12" ht="24" customHeight="1">
      <c r="A45" s="925" t="str">
        <f>IF('Votre profil'!A35="x","","Bon pour accord valant commande")</f>
        <v>Bon pour accord valant commande</v>
      </c>
      <c r="B45" s="76"/>
      <c r="C45" s="76"/>
      <c r="D45" s="76"/>
      <c r="E45" s="76"/>
      <c r="F45" s="76"/>
      <c r="G45" s="76"/>
      <c r="H45" s="76"/>
      <c r="I45" s="76"/>
      <c r="J45" s="76"/>
      <c r="K45" s="76"/>
    </row>
    <row r="46" spans="1:12">
      <c r="A46" s="70"/>
      <c r="B46" s="73"/>
      <c r="C46" s="73"/>
      <c r="D46" s="73"/>
      <c r="E46" s="73"/>
      <c r="F46" s="73"/>
      <c r="G46" s="73"/>
      <c r="H46" s="73"/>
      <c r="I46" s="73"/>
      <c r="J46" s="73"/>
      <c r="K46" s="73"/>
    </row>
    <row r="47" spans="1:12">
      <c r="A47" s="73"/>
      <c r="B47" s="73"/>
      <c r="C47" s="73"/>
      <c r="D47" s="73"/>
      <c r="E47" s="73"/>
      <c r="F47" s="73"/>
      <c r="G47" s="73"/>
      <c r="H47" s="73"/>
      <c r="I47" s="73"/>
      <c r="J47" s="73"/>
      <c r="K47" s="73"/>
    </row>
    <row r="48" spans="1:12">
      <c r="A48" s="73"/>
      <c r="B48" s="73"/>
      <c r="C48" s="73"/>
      <c r="D48" s="73"/>
      <c r="E48" s="73"/>
      <c r="F48" s="73"/>
      <c r="G48" s="73"/>
      <c r="H48" s="73"/>
      <c r="I48" s="73"/>
      <c r="J48" s="73"/>
      <c r="K48" s="73"/>
    </row>
    <row r="49" spans="1:12">
      <c r="A49" s="73"/>
      <c r="B49" s="73"/>
      <c r="C49" s="73"/>
      <c r="D49" s="73"/>
      <c r="E49" s="73"/>
      <c r="F49" s="73"/>
      <c r="G49" s="73"/>
      <c r="H49" s="73"/>
      <c r="I49" s="73"/>
      <c r="J49" s="73"/>
      <c r="K49" s="73"/>
    </row>
    <row r="50" spans="1:12">
      <c r="A50" s="73"/>
      <c r="B50" s="73"/>
      <c r="C50" s="73"/>
      <c r="D50" s="73"/>
      <c r="E50" s="73"/>
      <c r="F50" s="73"/>
      <c r="G50" s="73"/>
      <c r="H50" s="73"/>
      <c r="I50" s="73"/>
      <c r="J50" s="73"/>
      <c r="K50" s="73"/>
    </row>
    <row r="51" spans="1:12">
      <c r="A51" s="75"/>
      <c r="B51" s="73"/>
      <c r="C51" s="73"/>
      <c r="D51" s="73"/>
      <c r="E51" s="73"/>
      <c r="F51" s="73"/>
      <c r="G51" s="73"/>
      <c r="H51" s="73"/>
      <c r="I51" s="73"/>
      <c r="J51" s="73"/>
      <c r="K51" s="73"/>
    </row>
    <row r="52" spans="1:12">
      <c r="A52" s="73"/>
      <c r="B52" s="73"/>
      <c r="C52" s="73"/>
      <c r="D52" s="73"/>
      <c r="E52" s="73"/>
      <c r="F52" s="73"/>
      <c r="G52" s="73"/>
      <c r="H52" s="73"/>
      <c r="I52" s="73"/>
      <c r="J52" s="73"/>
      <c r="K52" s="73"/>
    </row>
    <row r="55" spans="1:12">
      <c r="A55" s="2042" t="str">
        <f>IF('Votre profil'!A35="x","","Le devis paraphé et la présente annexe signée et validée peuvent être retournés par courrier ou par mail après avoir été scannés")</f>
        <v>Le devis paraphé et la présente annexe signée et validée peuvent être retournés par courrier ou par mail après avoir été scannés</v>
      </c>
      <c r="B55" s="2043"/>
      <c r="C55" s="2043"/>
      <c r="D55" s="2043"/>
      <c r="E55" s="2043"/>
      <c r="F55" s="2043"/>
      <c r="G55" s="2043"/>
      <c r="H55" s="2043"/>
      <c r="I55" s="2043"/>
      <c r="J55" s="2043"/>
      <c r="K55" s="2043"/>
      <c r="L55" s="2044"/>
    </row>
  </sheetData>
  <mergeCells count="30">
    <mergeCell ref="A20:L20"/>
    <mergeCell ref="A30:L30"/>
    <mergeCell ref="A31:L31"/>
    <mergeCell ref="A28:L28"/>
    <mergeCell ref="A32:L32"/>
    <mergeCell ref="A27:L27"/>
    <mergeCell ref="A34:L34"/>
    <mergeCell ref="A33:L33"/>
    <mergeCell ref="A40:L40"/>
    <mergeCell ref="J42:L42"/>
    <mergeCell ref="A55:L55"/>
    <mergeCell ref="A42:F42"/>
    <mergeCell ref="A37:L37"/>
    <mergeCell ref="A38:L38"/>
    <mergeCell ref="A1:L1"/>
    <mergeCell ref="A18:L18"/>
    <mergeCell ref="A19:L19"/>
    <mergeCell ref="A22:L22"/>
    <mergeCell ref="A26:L26"/>
    <mergeCell ref="A4:L4"/>
    <mergeCell ref="A6:L6"/>
    <mergeCell ref="A7:L7"/>
    <mergeCell ref="A11:L11"/>
    <mergeCell ref="A12:L12"/>
    <mergeCell ref="C13:D13"/>
    <mergeCell ref="A15:L15"/>
    <mergeCell ref="A17:L17"/>
    <mergeCell ref="A25:L25"/>
    <mergeCell ref="A9:L9"/>
    <mergeCell ref="A3:L3"/>
  </mergeCells>
  <phoneticPr fontId="50" type="noConversion"/>
  <pageMargins left="0.957361111111111" right="0.68" top="0.55000000000000004" bottom="0.6" header="0.5" footer="0.5"/>
  <pageSetup paperSize="10" scale="48" orientation="portrait" horizontalDpi="4294967292" verticalDpi="4294967292"/>
  <ignoredErrors>
    <ignoredError sqref="A4 F29 A44:K55 A23:K23 L23 B36:L38 L25 B29:E29 A6 G29:K29 L29 A37:A38 A29 L26 B26:K26 B25:K25" emptyCellReference="1"/>
  </ignoredErrors>
  <extLst>
    <ext xmlns:mx="http://schemas.microsoft.com/office/mac/excel/2008/main" uri="http://schemas.microsoft.com/office/mac/excel/2008/main">
      <mx:PLV Mode="1"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L46"/>
  <sheetViews>
    <sheetView showGridLines="0" tabSelected="1" view="pageLayout" topLeftCell="D5" zoomScale="95" zoomScaleNormal="88" zoomScalePageLayoutView="95" workbookViewId="0">
      <selection activeCell="AD16" sqref="AD16"/>
    </sheetView>
  </sheetViews>
  <sheetFormatPr baseColWidth="10" defaultRowHeight="15"/>
  <cols>
    <col min="1" max="2" width="6.25" style="1" customWidth="1"/>
    <col min="3" max="3" width="5.5" style="1" customWidth="1"/>
    <col min="4" max="4" width="7.125" style="1" customWidth="1"/>
    <col min="5" max="5" width="16.125" style="1" customWidth="1"/>
    <col min="6" max="6" width="36" style="1" customWidth="1"/>
    <col min="7" max="7" width="15.25" style="7" customWidth="1"/>
    <col min="8" max="8" width="15.875" style="2" customWidth="1"/>
    <col min="9" max="9" width="17" style="2" customWidth="1"/>
    <col min="10" max="10" width="5.875" style="2" customWidth="1"/>
    <col min="11" max="11" width="3.875" style="2" customWidth="1"/>
    <col min="12" max="12" width="3.75" style="2" customWidth="1"/>
    <col min="13" max="13" width="3.375" style="2" customWidth="1"/>
    <col min="14" max="15" width="3.25" style="2" customWidth="1"/>
    <col min="16" max="16" width="6" style="2" hidden="1" customWidth="1"/>
    <col min="17" max="17" width="12.25" style="2" customWidth="1"/>
    <col min="18" max="18" width="2.75" style="2" customWidth="1"/>
    <col min="19" max="19" width="20.25" style="2" customWidth="1"/>
    <col min="20" max="20" width="7.25" style="2" customWidth="1"/>
    <col min="21" max="21" width="7" style="2" customWidth="1"/>
    <col min="22" max="22" width="7.125" style="2" customWidth="1"/>
    <col min="23" max="23" width="14.375" style="8" customWidth="1"/>
    <col min="24" max="24" width="7.5" style="8" customWidth="1"/>
    <col min="25" max="25" width="7.5" style="8" hidden="1" customWidth="1"/>
    <col min="26" max="26" width="16" style="2" customWidth="1"/>
    <col min="27" max="27" width="7" style="8" customWidth="1"/>
    <col min="28" max="28" width="20.125" style="2" customWidth="1"/>
    <col min="29" max="29" width="13.75" style="8" customWidth="1"/>
    <col min="30" max="30" width="15.25" style="8" customWidth="1"/>
    <col min="31" max="31" width="11.75" style="8" customWidth="1"/>
    <col min="32" max="32" width="13.5" style="2" customWidth="1"/>
    <col min="33" max="33" width="12.25" style="2" customWidth="1"/>
    <col min="34" max="34" width="16.25" style="2" customWidth="1"/>
    <col min="35" max="35" width="20.125" style="2" customWidth="1"/>
    <col min="36" max="36" width="16.25" style="2" customWidth="1"/>
    <col min="37" max="37" width="14" style="2" customWidth="1"/>
    <col min="38" max="38" width="11.125" style="8" customWidth="1"/>
    <col min="39" max="39" width="12.75" style="2" customWidth="1"/>
    <col min="40" max="40" width="5.5" style="8" customWidth="1"/>
    <col min="41" max="16384" width="10.625" style="1"/>
  </cols>
  <sheetData>
    <row r="1" spans="1:246" ht="29" customHeight="1">
      <c r="A1" s="2207" t="s">
        <v>903</v>
      </c>
      <c r="B1" s="2208"/>
      <c r="C1" s="2208"/>
      <c r="D1" s="2208"/>
      <c r="E1" s="2208"/>
      <c r="F1" s="2208"/>
      <c r="G1" s="2208"/>
      <c r="H1" s="2208"/>
      <c r="I1" s="2208"/>
      <c r="J1" s="2208"/>
      <c r="K1" s="2208"/>
      <c r="L1" s="2208"/>
      <c r="M1" s="2208"/>
      <c r="N1" s="2208"/>
      <c r="O1" s="2208"/>
      <c r="P1" s="2208"/>
      <c r="Q1" s="2208"/>
      <c r="R1" s="2208"/>
      <c r="S1" s="2208"/>
      <c r="T1" s="2208"/>
      <c r="U1" s="2208"/>
      <c r="V1" s="2208"/>
      <c r="W1" s="2208"/>
      <c r="X1" s="2208"/>
      <c r="Y1" s="2208"/>
      <c r="Z1" s="2208"/>
      <c r="AA1" s="2208"/>
      <c r="AB1" s="2208"/>
      <c r="AC1" s="2208"/>
      <c r="AD1" s="2208"/>
      <c r="AE1" s="2209"/>
    </row>
    <row r="2" spans="1:246" ht="20" customHeight="1">
      <c r="A2" s="2217" t="s">
        <v>659</v>
      </c>
      <c r="B2" s="2218"/>
      <c r="C2" s="2218"/>
      <c r="D2" s="2218"/>
      <c r="E2" s="2218"/>
      <c r="F2" s="2218"/>
      <c r="G2" s="2218"/>
      <c r="H2" s="2218"/>
      <c r="I2" s="2218"/>
      <c r="J2" s="2218"/>
      <c r="K2" s="2218"/>
      <c r="L2" s="2218"/>
      <c r="M2" s="2218"/>
      <c r="N2" s="2218"/>
      <c r="O2" s="2218"/>
      <c r="P2" s="2218"/>
      <c r="Q2" s="2218"/>
      <c r="R2" s="2218"/>
      <c r="S2" s="2218"/>
      <c r="T2" s="2218"/>
      <c r="U2" s="2218"/>
      <c r="V2" s="2218"/>
      <c r="W2" s="2218"/>
      <c r="X2" s="2218"/>
      <c r="Y2" s="2218"/>
      <c r="Z2" s="2218"/>
      <c r="AA2" s="2218"/>
      <c r="AB2" s="2218"/>
      <c r="AC2" s="2218"/>
      <c r="AD2" s="2218"/>
      <c r="AE2" s="2219"/>
    </row>
    <row r="3" spans="1:246" ht="23" customHeight="1">
      <c r="A3" s="2239" t="s">
        <v>565</v>
      </c>
      <c r="B3" s="2240"/>
      <c r="C3" s="2240"/>
      <c r="D3" s="2240"/>
      <c r="E3" s="2240"/>
      <c r="F3" s="2240"/>
      <c r="G3" s="2240"/>
      <c r="H3" s="2240"/>
      <c r="I3" s="2240"/>
      <c r="J3" s="2240"/>
      <c r="K3" s="2240"/>
      <c r="L3" s="2240"/>
      <c r="M3" s="2240"/>
      <c r="N3" s="2240"/>
      <c r="O3" s="2240"/>
      <c r="P3" s="2240"/>
      <c r="Q3" s="2240"/>
      <c r="R3" s="2240"/>
      <c r="S3" s="2240"/>
      <c r="T3" s="2240"/>
      <c r="U3" s="2240"/>
      <c r="V3" s="2240"/>
      <c r="W3" s="2240"/>
      <c r="X3" s="2240"/>
      <c r="Y3" s="2240"/>
      <c r="Z3" s="2240"/>
      <c r="AA3" s="2240"/>
      <c r="AB3" s="2240"/>
      <c r="AC3" s="2240"/>
      <c r="AD3" s="2240"/>
      <c r="AE3" s="2241"/>
    </row>
    <row r="4" spans="1:246" s="3" customFormat="1" ht="21" customHeight="1" thickBot="1">
      <c r="A4"/>
      <c r="B4"/>
      <c r="C4"/>
      <c r="D4" s="152"/>
      <c r="F4" s="2228"/>
      <c r="G4" s="2229"/>
      <c r="H4" s="2229"/>
      <c r="I4" s="2229"/>
      <c r="J4" s="2229"/>
      <c r="K4" s="2229"/>
      <c r="L4" s="2229"/>
      <c r="M4" s="2229"/>
      <c r="N4" s="2229"/>
      <c r="O4" s="2229"/>
      <c r="P4" s="2229"/>
      <c r="Q4" s="2229"/>
      <c r="R4" s="2229"/>
      <c r="S4" s="2229"/>
      <c r="T4" s="2229"/>
      <c r="U4" s="2229"/>
      <c r="V4" s="2229"/>
      <c r="W4" s="2229"/>
      <c r="X4" s="2229"/>
      <c r="Y4" s="2229"/>
      <c r="Z4" s="2229"/>
      <c r="AA4" s="2229"/>
      <c r="AB4" s="2229"/>
      <c r="AC4" s="2229"/>
      <c r="AD4" s="68"/>
      <c r="AE4" s="68"/>
      <c r="AF4" s="4"/>
      <c r="AG4" s="4"/>
      <c r="AH4" s="4"/>
      <c r="AI4" s="4"/>
      <c r="AJ4" s="4"/>
      <c r="AK4" s="4"/>
      <c r="AL4" s="68"/>
      <c r="AM4" s="4"/>
      <c r="AN4" s="68"/>
    </row>
    <row r="5" spans="1:246" ht="56" customHeight="1" thickTop="1" thickBot="1">
      <c r="A5" s="2222" t="s">
        <v>1036</v>
      </c>
      <c r="B5" s="2223"/>
      <c r="C5" s="401"/>
      <c r="D5" s="2161" t="s">
        <v>262</v>
      </c>
      <c r="E5" s="2162"/>
      <c r="F5" s="621" t="s">
        <v>205</v>
      </c>
      <c r="G5" s="184"/>
      <c r="H5" s="2230" t="s">
        <v>1251</v>
      </c>
      <c r="I5" s="2231"/>
      <c r="J5" s="2231"/>
      <c r="K5" s="1837"/>
      <c r="L5" s="1837"/>
      <c r="M5" s="1837"/>
      <c r="N5" s="1837"/>
      <c r="O5" s="1838"/>
      <c r="P5" s="138"/>
      <c r="Q5" s="2232" t="s">
        <v>1264</v>
      </c>
      <c r="R5" s="2232"/>
      <c r="S5" s="2233"/>
      <c r="T5" s="2233"/>
      <c r="U5" s="2233"/>
      <c r="V5" s="2233"/>
      <c r="W5" s="2233"/>
      <c r="X5" s="2233"/>
      <c r="Y5" s="2233"/>
      <c r="Z5" s="2234"/>
      <c r="AA5" s="2284" t="s">
        <v>202</v>
      </c>
      <c r="AB5" s="2267" t="s">
        <v>475</v>
      </c>
      <c r="AC5" s="2268"/>
      <c r="AD5" s="2271" t="s">
        <v>1024</v>
      </c>
      <c r="AE5" s="2272"/>
    </row>
    <row r="6" spans="1:246" ht="38" customHeight="1" thickBot="1">
      <c r="A6" s="2224"/>
      <c r="B6" s="2225"/>
      <c r="C6" s="847"/>
      <c r="D6" s="1216" t="s">
        <v>987</v>
      </c>
      <c r="E6" s="1235">
        <f>E10*G6</f>
        <v>200</v>
      </c>
      <c r="F6" s="1236" t="str">
        <f>IF(C6="x"," 1 heure et demi", "Forfait 1ère heure")</f>
        <v>Forfait 1ère heure</v>
      </c>
      <c r="G6" s="303">
        <v>0.2</v>
      </c>
      <c r="H6" s="450"/>
      <c r="I6" s="2163" t="s">
        <v>444</v>
      </c>
      <c r="J6" s="2255" t="s">
        <v>396</v>
      </c>
      <c r="K6" s="1839"/>
      <c r="L6" s="1839"/>
      <c r="M6" s="1839"/>
      <c r="N6" s="1839"/>
      <c r="O6" s="1840"/>
      <c r="P6" s="139"/>
      <c r="Q6" s="2235"/>
      <c r="R6" s="2235"/>
      <c r="S6" s="2235"/>
      <c r="T6" s="2235"/>
      <c r="U6" s="2235"/>
      <c r="V6" s="2235"/>
      <c r="W6" s="2235"/>
      <c r="X6" s="2235"/>
      <c r="Y6" s="2235"/>
      <c r="Z6" s="2236"/>
      <c r="AA6" s="2285"/>
      <c r="AB6" s="2269"/>
      <c r="AC6" s="2270"/>
      <c r="AD6" s="2273"/>
      <c r="AE6" s="2274"/>
      <c r="AF6" s="44"/>
      <c r="AG6" s="13"/>
      <c r="AI6" s="13"/>
    </row>
    <row r="7" spans="1:246" s="5" customFormat="1" ht="34" customHeight="1" thickTop="1" thickBot="1">
      <c r="A7" s="2224"/>
      <c r="B7" s="2225"/>
      <c r="C7" s="540"/>
      <c r="D7" s="1217" t="s">
        <v>566</v>
      </c>
      <c r="E7" s="1237">
        <f>E10*G7</f>
        <v>350</v>
      </c>
      <c r="F7" s="1238" t="str">
        <f>IF(C7="x"," 2 heures 30","Forfait de 2 h")</f>
        <v>Forfait de 2 h</v>
      </c>
      <c r="G7" s="303">
        <v>0.35</v>
      </c>
      <c r="H7" s="450"/>
      <c r="I7" s="2164"/>
      <c r="J7" s="2256"/>
      <c r="K7" s="1839"/>
      <c r="L7" s="1839"/>
      <c r="M7" s="1839"/>
      <c r="N7" s="1839"/>
      <c r="O7" s="1841"/>
      <c r="P7" s="125"/>
      <c r="Q7" s="133"/>
      <c r="R7" s="133"/>
      <c r="S7" s="133"/>
      <c r="T7" s="2211" t="s">
        <v>300</v>
      </c>
      <c r="U7" s="2212"/>
      <c r="V7" s="2213"/>
      <c r="W7" s="134"/>
      <c r="X7" s="2214" t="s">
        <v>50</v>
      </c>
      <c r="Y7" s="2195" t="s">
        <v>1151</v>
      </c>
      <c r="Z7" s="2275" t="s">
        <v>388</v>
      </c>
      <c r="AA7" s="2285"/>
      <c r="AB7" s="2287" t="s">
        <v>624</v>
      </c>
      <c r="AC7" s="2288"/>
      <c r="AD7" s="2288"/>
      <c r="AE7" s="2289"/>
      <c r="AF7" s="926"/>
      <c r="AG7" s="926"/>
      <c r="AH7" s="926"/>
      <c r="AI7" s="926"/>
      <c r="AJ7" s="926"/>
      <c r="AK7" s="926"/>
      <c r="AL7" s="926"/>
      <c r="AM7" s="926"/>
      <c r="AN7" s="926"/>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row>
    <row r="8" spans="1:246" ht="31" customHeight="1" thickTop="1">
      <c r="A8" s="2224"/>
      <c r="B8" s="2225"/>
      <c r="C8" s="540"/>
      <c r="D8" s="1217" t="s">
        <v>181</v>
      </c>
      <c r="E8" s="1237">
        <f>E10*G8</f>
        <v>500</v>
      </c>
      <c r="F8" s="1238" t="str">
        <f>IF(C8="x"," 3 heures 30","Forfait de 3 heures")</f>
        <v>Forfait de 3 heures</v>
      </c>
      <c r="G8" s="303">
        <v>0.5</v>
      </c>
      <c r="H8" s="658" t="s">
        <v>1078</v>
      </c>
      <c r="I8" s="2237" t="s">
        <v>1035</v>
      </c>
      <c r="J8" s="2256"/>
      <c r="K8" s="1842"/>
      <c r="L8" s="1842"/>
      <c r="M8" s="1842"/>
      <c r="N8" s="1842"/>
      <c r="O8" s="1843"/>
      <c r="P8" s="2165"/>
      <c r="Q8" s="133"/>
      <c r="R8" s="133"/>
      <c r="S8" s="2171" t="s">
        <v>525</v>
      </c>
      <c r="T8" s="2114" t="s">
        <v>241</v>
      </c>
      <c r="U8" s="2114" t="s">
        <v>600</v>
      </c>
      <c r="V8" s="2210" t="s">
        <v>378</v>
      </c>
      <c r="W8" s="135"/>
      <c r="X8" s="2215"/>
      <c r="Y8" s="2196"/>
      <c r="Z8" s="2276"/>
      <c r="AA8" s="2285"/>
      <c r="AB8" s="2220" t="s">
        <v>1086</v>
      </c>
      <c r="AC8" s="2221"/>
      <c r="AD8" s="2280" t="s">
        <v>457</v>
      </c>
      <c r="AE8" s="2281"/>
    </row>
    <row r="9" spans="1:246" ht="35" customHeight="1" thickBot="1">
      <c r="A9" s="2226"/>
      <c r="B9" s="2227"/>
      <c r="C9" s="403"/>
      <c r="D9" s="1217" t="s">
        <v>98</v>
      </c>
      <c r="E9" s="1239">
        <f>E10*G9</f>
        <v>600</v>
      </c>
      <c r="F9" s="1238" t="s">
        <v>346</v>
      </c>
      <c r="G9" s="303">
        <v>0.6</v>
      </c>
      <c r="H9" s="659" t="s">
        <v>1079</v>
      </c>
      <c r="I9" s="2238"/>
      <c r="J9" s="2256"/>
      <c r="K9" s="1844"/>
      <c r="L9" s="1844"/>
      <c r="M9" s="1844"/>
      <c r="N9" s="1844"/>
      <c r="O9" s="1845"/>
      <c r="P9" s="2166"/>
      <c r="Q9" s="133"/>
      <c r="R9" s="133"/>
      <c r="S9" s="2172"/>
      <c r="T9" s="2114"/>
      <c r="U9" s="2114"/>
      <c r="V9" s="2114"/>
      <c r="W9" s="135"/>
      <c r="X9" s="2215"/>
      <c r="Y9" s="2196"/>
      <c r="Z9" s="2276"/>
      <c r="AA9" s="2285"/>
      <c r="AB9" s="2278">
        <f>SUM(Z14:Z18)+'Portraits corpo &amp; catal objets'!J36+'Portraits corpo &amp; catal objets'!J54</f>
        <v>0</v>
      </c>
      <c r="AC9" s="2279"/>
      <c r="AD9" s="2282"/>
      <c r="AE9" s="2283"/>
    </row>
    <row r="10" spans="1:246" ht="33" customHeight="1" thickTop="1" thickBot="1">
      <c r="A10" s="2189" t="s">
        <v>1111</v>
      </c>
      <c r="B10" s="2190"/>
      <c r="C10" s="2191"/>
      <c r="D10" s="1218" t="s">
        <v>99</v>
      </c>
      <c r="E10" s="1240">
        <v>1000</v>
      </c>
      <c r="F10" s="1241" t="s">
        <v>921</v>
      </c>
      <c r="G10" s="304">
        <v>1</v>
      </c>
      <c r="H10" s="1215">
        <f>E10</f>
        <v>1000</v>
      </c>
      <c r="I10" s="1850">
        <v>0.3</v>
      </c>
      <c r="J10" s="2256"/>
      <c r="K10" s="2258" t="s">
        <v>1263</v>
      </c>
      <c r="L10" s="2259"/>
      <c r="M10" s="2259"/>
      <c r="N10" s="2259"/>
      <c r="O10" s="2260"/>
      <c r="P10" s="2166"/>
      <c r="Q10" s="2250" t="s">
        <v>464</v>
      </c>
      <c r="R10" s="133"/>
      <c r="S10" s="2173"/>
      <c r="T10" s="2114"/>
      <c r="U10" s="2114"/>
      <c r="V10" s="2114"/>
      <c r="W10" s="135"/>
      <c r="X10" s="2215"/>
      <c r="Y10" s="2196"/>
      <c r="Z10" s="2277"/>
      <c r="AA10" s="2285"/>
      <c r="AB10" s="2253" t="str">
        <f>IF(AB9=0,"",AD10/AB9)</f>
        <v/>
      </c>
      <c r="AC10" s="2254"/>
      <c r="AD10" s="2248">
        <f>'Devis-Fact'!E70</f>
        <v>24.119999999999997</v>
      </c>
      <c r="AE10" s="2249"/>
    </row>
    <row r="11" spans="1:246" s="3" customFormat="1" ht="26" customHeight="1" thickTop="1">
      <c r="A11" s="2192"/>
      <c r="B11" s="2193"/>
      <c r="C11" s="2194"/>
      <c r="D11" s="915"/>
      <c r="E11" s="1156" t="str">
        <f>IF(E10&lt;AD19,"Voir seuil de rentabilié","")</f>
        <v/>
      </c>
      <c r="F11" s="858"/>
      <c r="G11" s="2180" t="s">
        <v>476</v>
      </c>
      <c r="H11" s="660" t="s">
        <v>1080</v>
      </c>
      <c r="I11" s="2174" t="s">
        <v>225</v>
      </c>
      <c r="J11" s="2256"/>
      <c r="K11" s="2261"/>
      <c r="L11" s="2262"/>
      <c r="M11" s="2262"/>
      <c r="N11" s="2262"/>
      <c r="O11" s="2263"/>
      <c r="P11" s="2166"/>
      <c r="Q11" s="2251"/>
      <c r="R11" s="370"/>
      <c r="S11" s="2108" t="s">
        <v>430</v>
      </c>
      <c r="T11" s="2115"/>
      <c r="U11" s="2114"/>
      <c r="V11" s="2114"/>
      <c r="W11" s="2111" t="s">
        <v>482</v>
      </c>
      <c r="X11" s="2216"/>
      <c r="Y11" s="2197"/>
      <c r="Z11" s="366" t="s">
        <v>584</v>
      </c>
      <c r="AA11" s="2285"/>
      <c r="AB11" s="2242" t="s">
        <v>532</v>
      </c>
      <c r="AC11" s="2243"/>
      <c r="AD11" s="2243"/>
      <c r="AE11" s="2244"/>
      <c r="AI11" s="19"/>
    </row>
    <row r="12" spans="1:246" s="3" customFormat="1" ht="26" customHeight="1" thickBot="1">
      <c r="A12" s="2054" t="str">
        <f>"La valeur de base ("&amp;E10&amp;" € ) est censée avoir été calculée pour obtenir un niveau de vie moyen. Pour toute activité qui serait plus ou moins qualifiée ou créative par rapport à cette valeur moyenne, on applique un % de minoration ou de majoration."</f>
        <v>La valeur de base (1000 € ) est censée avoir été calculée pour obtenir un niveau de vie moyen. Pour toute activité qui serait plus ou moins qualifiée ou créative par rapport à cette valeur moyenne, on applique un % de minoration ou de majoration.</v>
      </c>
      <c r="B12" s="2184"/>
      <c r="C12" s="2184"/>
      <c r="D12" s="2185"/>
      <c r="E12" s="2065" t="s">
        <v>309</v>
      </c>
      <c r="F12" s="859" t="s">
        <v>530</v>
      </c>
      <c r="G12" s="2181"/>
      <c r="H12" s="661" t="s">
        <v>833</v>
      </c>
      <c r="I12" s="2175"/>
      <c r="J12" s="2256"/>
      <c r="K12" s="2264"/>
      <c r="L12" s="2265"/>
      <c r="M12" s="2265"/>
      <c r="N12" s="2265"/>
      <c r="O12" s="2266"/>
      <c r="P12" s="2166"/>
      <c r="Q12" s="2252"/>
      <c r="R12" s="371"/>
      <c r="S12" s="2109"/>
      <c r="T12" s="2116"/>
      <c r="U12" s="2117"/>
      <c r="V12" s="2117"/>
      <c r="W12" s="2112"/>
      <c r="X12" s="2216"/>
      <c r="Y12" s="2197"/>
      <c r="Z12" s="367" t="s">
        <v>782</v>
      </c>
      <c r="AA12" s="2285"/>
      <c r="AB12" s="2245"/>
      <c r="AC12" s="2246"/>
      <c r="AD12" s="2246"/>
      <c r="AE12" s="2247"/>
      <c r="AI12" s="19"/>
    </row>
    <row r="13" spans="1:246" s="45" customFormat="1" ht="32" customHeight="1" thickBot="1">
      <c r="A13" s="2186"/>
      <c r="B13" s="2187"/>
      <c r="C13" s="2187"/>
      <c r="D13" s="2188"/>
      <c r="E13" s="2183"/>
      <c r="F13" s="168" t="s">
        <v>108</v>
      </c>
      <c r="G13" s="2182"/>
      <c r="H13" s="1877"/>
      <c r="I13" s="2176"/>
      <c r="J13" s="2257"/>
      <c r="K13" s="1851" t="s">
        <v>1246</v>
      </c>
      <c r="L13" s="1846" t="s">
        <v>1247</v>
      </c>
      <c r="M13" s="1846" t="s">
        <v>1248</v>
      </c>
      <c r="N13" s="1846" t="s">
        <v>1249</v>
      </c>
      <c r="O13" s="1846" t="s">
        <v>1250</v>
      </c>
      <c r="P13" s="2167"/>
      <c r="Q13" s="1880" t="s">
        <v>1259</v>
      </c>
      <c r="R13" s="369"/>
      <c r="S13" s="2110"/>
      <c r="T13" s="534">
        <v>0.9</v>
      </c>
      <c r="U13" s="535">
        <v>0.8</v>
      </c>
      <c r="V13" s="536">
        <v>0.75</v>
      </c>
      <c r="W13" s="2113"/>
      <c r="X13" s="2216"/>
      <c r="Y13" s="2198"/>
      <c r="Z13" s="1129" t="s">
        <v>523</v>
      </c>
      <c r="AA13" s="2286"/>
    </row>
    <row r="14" spans="1:246" s="3" customFormat="1" ht="26" customHeight="1">
      <c r="A14" s="2186"/>
      <c r="B14" s="2187"/>
      <c r="C14" s="2187"/>
      <c r="D14" s="2188"/>
      <c r="E14" s="2183"/>
      <c r="F14" s="678"/>
      <c r="G14" s="679">
        <v>1</v>
      </c>
      <c r="H14" s="1878">
        <f>(IF(K14="x",$E$6,IF(L14="x",$E$7,IF(M14="x",$E$8,IF(N14="x",$E$9,IF(O14="x",$E$10,0))))*G14))</f>
        <v>0</v>
      </c>
      <c r="I14" s="1657">
        <f>IF(J14=0,H14*$I$10,0)</f>
        <v>0</v>
      </c>
      <c r="J14" s="1852"/>
      <c r="K14" s="1862"/>
      <c r="L14" s="1863"/>
      <c r="M14" s="1863"/>
      <c r="N14" s="1863"/>
      <c r="O14" s="1864"/>
      <c r="P14" s="1857">
        <f>IF(O14="a",$G$6,IF(O14="b",$G$7,IF(O14="c",$G$8,IF(O14="d",$G$9,IF(O14="e",$G$10,0)))))</f>
        <v>0</v>
      </c>
      <c r="Q14" s="1672"/>
      <c r="R14" s="1658" t="s">
        <v>1100</v>
      </c>
      <c r="S14" s="1847">
        <f>IF(O14="x",$F$10,IF(N14="x",$F$9,IF(M14="x",$F$8,IF(L14="x",$F$7,IF(K14="x",$F$6,0)))))</f>
        <v>0</v>
      </c>
      <c r="T14" s="1659" t="str">
        <f>IF(O14="x",IF(AND(Q14&gt;=3,Q14&lt;=5),"x",""),"")</f>
        <v/>
      </c>
      <c r="U14" s="1660" t="str">
        <f>IF(O14="x",IF(AND(Q14&gt;=6,Q14&lt;=10),"x",""),"")</f>
        <v/>
      </c>
      <c r="V14" s="1661" t="str">
        <f>IF(O14="x",IF(Q14&gt;10,"x",""),"")</f>
        <v/>
      </c>
      <c r="W14" s="1662">
        <f>(H14+I14)*Q14+Y14</f>
        <v>0</v>
      </c>
      <c r="X14" s="1881"/>
      <c r="Y14" s="1663">
        <f>IF(AND($C$6="x",O14="a"),$E$6/2,IF(AND($C$7="x",O14="b"),$E$7/4,IF(AND($C$8="x",O14="c"),$E$8/6,0)))</f>
        <v>0</v>
      </c>
      <c r="Z14" s="1664"/>
      <c r="AA14" s="1043">
        <v>0</v>
      </c>
      <c r="AB14" s="2123" t="s">
        <v>616</v>
      </c>
      <c r="AC14" s="2124"/>
      <c r="AD14" s="2124"/>
      <c r="AE14" s="2125"/>
      <c r="AI14" s="19"/>
      <c r="AO14" s="21"/>
    </row>
    <row r="15" spans="1:246" s="19" customFormat="1" ht="26" customHeight="1" thickBot="1">
      <c r="A15" s="2186"/>
      <c r="B15" s="2187"/>
      <c r="C15" s="2187"/>
      <c r="D15" s="2188"/>
      <c r="E15" s="2183"/>
      <c r="F15" s="678"/>
      <c r="G15" s="680">
        <v>1</v>
      </c>
      <c r="H15" s="1675">
        <f t="shared" ref="H15:H18" si="0">(IF(K15="x",$E$6,IF(L15="x",$E$7,IF(M15="x",$E$8,IF(N15="x",$E$9,IF(O15="x",$E$10,0))))*G15))</f>
        <v>0</v>
      </c>
      <c r="I15" s="1676">
        <f>IF(J15=0,H15*$I$10,0)</f>
        <v>0</v>
      </c>
      <c r="J15" s="1853"/>
      <c r="K15" s="1865"/>
      <c r="L15" s="1866"/>
      <c r="M15" s="1866"/>
      <c r="N15" s="1866"/>
      <c r="O15" s="1867"/>
      <c r="P15" s="1858">
        <f>IF(O15="a",$G$6,IF(O15="b",$G$7,IF(O15="c",$G$8,IF(O15="d",$G$9,IF(O15="e",$G$10,0)))))</f>
        <v>0</v>
      </c>
      <c r="Q15" s="1672"/>
      <c r="R15" s="1677" t="s">
        <v>1100</v>
      </c>
      <c r="S15" s="1848">
        <f t="shared" ref="S15:S18" si="1">IF(O15="x",$F$10,IF(N15="x",$F$9,IF(M15="x",$F$8,IF(L15="x",$F$7,IF(K15="x",$F$6,0)))))</f>
        <v>0</v>
      </c>
      <c r="T15" s="1659" t="str">
        <f>IF(O15="e",IF(AND(Q15&gt;=3,Q15&lt;=5),"x",""),"")</f>
        <v/>
      </c>
      <c r="U15" s="1660" t="str">
        <f>IF(O15="e",IF(AND(Q15&gt;=6,Q15&lt;=10),"x",""),"")</f>
        <v/>
      </c>
      <c r="V15" s="1661" t="str">
        <f>IF(O15="e",IF(Q15&gt;10,"x",""),"")</f>
        <v/>
      </c>
      <c r="W15" s="1662">
        <f>(H15+I15)*Q15+Y15</f>
        <v>0</v>
      </c>
      <c r="X15" s="818"/>
      <c r="Y15" s="1665">
        <f>IF(AND($C$6="x",O15="a"),$E$6/2,IF(AND($C$7="x",O15="b"),$E$7/4,IF(AND($C$8="x",O15="c"),$E$8/6,0)))</f>
        <v>0</v>
      </c>
      <c r="Z15" s="1666"/>
      <c r="AA15" s="1044">
        <v>0</v>
      </c>
      <c r="AB15" s="172"/>
      <c r="AC15" s="175" t="s">
        <v>748</v>
      </c>
      <c r="AD15" s="173">
        <v>60</v>
      </c>
      <c r="AE15" s="170"/>
    </row>
    <row r="16" spans="1:246" s="3" customFormat="1" ht="26" customHeight="1">
      <c r="A16" s="2186"/>
      <c r="B16" s="2187"/>
      <c r="C16" s="2187"/>
      <c r="D16" s="2188"/>
      <c r="E16" s="2183"/>
      <c r="F16" s="678" t="s">
        <v>1105</v>
      </c>
      <c r="G16" s="680">
        <v>1.5</v>
      </c>
      <c r="H16" s="1675">
        <f t="shared" si="0"/>
        <v>0</v>
      </c>
      <c r="I16" s="1220">
        <f>IF(J16=0,H16*$I$10,0)</f>
        <v>0</v>
      </c>
      <c r="J16" s="1854"/>
      <c r="K16" s="1868"/>
      <c r="L16" s="1869"/>
      <c r="M16" s="1869"/>
      <c r="N16" s="1869"/>
      <c r="O16" s="1870"/>
      <c r="P16" s="1859">
        <f>IF(O16="a",$G$6,IF(O16="b",$G$7,IF(O16="c",$G$8,IF(O16="d",$G$9,IF(O16="e",$G$10,0)))))</f>
        <v>0</v>
      </c>
      <c r="Q16" s="1672"/>
      <c r="R16" s="1138" t="s">
        <v>1136</v>
      </c>
      <c r="S16" s="1848">
        <f t="shared" si="1"/>
        <v>0</v>
      </c>
      <c r="T16" s="1223" t="str">
        <f>IF(O16="e",IF(AND(Q16&gt;=3,Q16&lt;=5),"x",""),"")</f>
        <v/>
      </c>
      <c r="U16" s="1224" t="str">
        <f>IF(O16="e",IF(AND(Q16&gt;=6,Q16&lt;=10),"x",""),"")</f>
        <v/>
      </c>
      <c r="V16" s="1225" t="str">
        <f>IF(O16="e",IF(Q16&gt;10,"x",""),"")</f>
        <v/>
      </c>
      <c r="W16" s="1226">
        <f>(H16+I16)*Q16+Y16</f>
        <v>0</v>
      </c>
      <c r="X16" s="818"/>
      <c r="Y16" s="664">
        <f>IF(AND($C$6="x",O16="a"),$E$6/2,IF(AND($C$7="x",O16="b"),$E$7/4,IF(AND($C$8="x",O16="c"),$E$8/6,0)))</f>
        <v>0</v>
      </c>
      <c r="Z16" s="665"/>
      <c r="AA16" s="1044">
        <v>0</v>
      </c>
      <c r="AB16" s="169"/>
      <c r="AC16" s="176" t="s">
        <v>1177</v>
      </c>
      <c r="AD16" s="180">
        <v>24000</v>
      </c>
      <c r="AE16" s="170"/>
      <c r="AI16" s="19"/>
    </row>
    <row r="17" spans="1:246" s="19" customFormat="1" ht="26" customHeight="1">
      <c r="A17" s="2186"/>
      <c r="B17" s="2187"/>
      <c r="C17" s="2187"/>
      <c r="D17" s="2188"/>
      <c r="E17" s="2183"/>
      <c r="F17" s="677" t="s">
        <v>41</v>
      </c>
      <c r="G17" s="681">
        <v>1</v>
      </c>
      <c r="H17" s="1675">
        <f t="shared" si="0"/>
        <v>0</v>
      </c>
      <c r="I17" s="1221">
        <f>IF(J17=0,H17*$I$10,0)</f>
        <v>0</v>
      </c>
      <c r="J17" s="1855"/>
      <c r="K17" s="1871"/>
      <c r="L17" s="1872"/>
      <c r="M17" s="1872"/>
      <c r="N17" s="1872"/>
      <c r="O17" s="1873"/>
      <c r="P17" s="1860">
        <f>IF(O17="a",$G$6,IF(O17="b",$G$7,IF(O17="c",$G$8,IF(O17="d",$G$9,IF(O17="e",$G$10,0)))))</f>
        <v>0</v>
      </c>
      <c r="Q17" s="1672"/>
      <c r="R17" s="1139" t="s">
        <v>1137</v>
      </c>
      <c r="S17" s="1848">
        <f t="shared" si="1"/>
        <v>0</v>
      </c>
      <c r="T17" s="1227" t="str">
        <f>IF(O17="e",IF(AND(Q17&gt;=3,Q17&lt;=5),"x",""),"")</f>
        <v/>
      </c>
      <c r="U17" s="1228" t="str">
        <f>IF(O17="e",IF(AND(Q17&gt;=6,Q17&lt;=10),"x",""),"")</f>
        <v/>
      </c>
      <c r="V17" s="1229" t="str">
        <f>IF(O17="e",IF(Q17&gt;10,"x",""),"")</f>
        <v/>
      </c>
      <c r="W17" s="1230">
        <f>(H17+I17)*Q17+Y17</f>
        <v>0</v>
      </c>
      <c r="X17" s="818"/>
      <c r="Y17" s="664">
        <f>IF(AND($C$6="x",O17="a"),$E$6/2,IF(AND($C$7="x",O17="b"),$E$7/4,IF(AND($C$8="x",O17="c"),$E$8/6,0)))</f>
        <v>0</v>
      </c>
      <c r="Z17" s="665"/>
      <c r="AA17" s="1044">
        <v>0</v>
      </c>
      <c r="AB17" s="169"/>
      <c r="AC17" s="176" t="s">
        <v>559</v>
      </c>
      <c r="AD17" s="181">
        <v>7500</v>
      </c>
      <c r="AE17" s="171"/>
    </row>
    <row r="18" spans="1:246" s="3" customFormat="1" ht="26" customHeight="1">
      <c r="A18" s="2186"/>
      <c r="B18" s="2187"/>
      <c r="C18" s="2187"/>
      <c r="D18" s="2188"/>
      <c r="E18" s="2183"/>
      <c r="F18" s="677" t="s">
        <v>281</v>
      </c>
      <c r="G18" s="682">
        <v>1</v>
      </c>
      <c r="H18" s="1879">
        <f t="shared" si="0"/>
        <v>0</v>
      </c>
      <c r="I18" s="1222">
        <f>IF(J18=0,H18*$I$10,0)</f>
        <v>0</v>
      </c>
      <c r="J18" s="1856"/>
      <c r="K18" s="1874"/>
      <c r="L18" s="1875"/>
      <c r="M18" s="1875"/>
      <c r="N18" s="1875"/>
      <c r="O18" s="1876"/>
      <c r="P18" s="1861">
        <f>IF(O18="a",$G$6,IF(O18="b",$G$7,IF(O18="c",$G$8,IF(O18="d",$G$9,IF(O18="e",$G$10,0)))))</f>
        <v>0</v>
      </c>
      <c r="Q18" s="1672"/>
      <c r="R18" s="1140" t="s">
        <v>1136</v>
      </c>
      <c r="S18" s="1849">
        <f t="shared" si="1"/>
        <v>0</v>
      </c>
      <c r="T18" s="1231" t="str">
        <f>IF(O18="e",IF(AND(Q18&gt;=3,Q18&lt;=5),"x",""),"")</f>
        <v/>
      </c>
      <c r="U18" s="1232" t="str">
        <f>IF(O18="e",IF(AND(Q18&gt;=6,Q18&lt;=10),"x",""),"")</f>
        <v/>
      </c>
      <c r="V18" s="1233" t="str">
        <f>IF(O18="e",IF(Q18&gt;10,"x",""),"")</f>
        <v/>
      </c>
      <c r="W18" s="1234">
        <f>(H18+I18)*Q18+Y18</f>
        <v>0</v>
      </c>
      <c r="X18" s="818"/>
      <c r="Y18" s="664">
        <f>IF(AND($C$6="x",O18="a"),$E$6/2,IF(AND($C$7="x",O18="b"),$E$7/4,IF(AND($C$8="x",O18="c"),$E$8/6,0)))</f>
        <v>0</v>
      </c>
      <c r="Z18" s="665"/>
      <c r="AA18" s="1044">
        <v>0</v>
      </c>
      <c r="AB18" s="169"/>
      <c r="AC18" s="176" t="s">
        <v>560</v>
      </c>
      <c r="AD18" s="1270">
        <f>(AD16+AD17)/12*AE18</f>
        <v>7875</v>
      </c>
      <c r="AE18" s="174">
        <v>3</v>
      </c>
      <c r="AI18" s="19"/>
    </row>
    <row r="19" spans="1:246" ht="68" customHeight="1">
      <c r="A19" s="2178" t="s">
        <v>1236</v>
      </c>
      <c r="B19" s="2179"/>
      <c r="C19" s="2179"/>
      <c r="D19" s="2179"/>
      <c r="E19" s="932">
        <v>0</v>
      </c>
      <c r="F19" s="2200" t="s">
        <v>1207</v>
      </c>
      <c r="G19" s="2201"/>
      <c r="H19" s="2201"/>
      <c r="I19" s="2202"/>
      <c r="J19" s="848" t="s">
        <v>895</v>
      </c>
      <c r="K19" s="2048" t="s">
        <v>1254</v>
      </c>
      <c r="L19" s="2048" t="s">
        <v>1255</v>
      </c>
      <c r="M19" s="2048" t="s">
        <v>1256</v>
      </c>
      <c r="N19" s="2048" t="s">
        <v>1257</v>
      </c>
      <c r="O19" s="2048" t="s">
        <v>1258</v>
      </c>
      <c r="P19" s="849"/>
      <c r="Q19" s="850"/>
      <c r="R19" s="2205" t="s">
        <v>553</v>
      </c>
      <c r="S19" s="2206"/>
      <c r="T19" s="2199" t="s">
        <v>683</v>
      </c>
      <c r="U19" s="2199"/>
      <c r="V19" s="2199"/>
      <c r="W19" s="851" t="s">
        <v>1134</v>
      </c>
      <c r="X19" s="848" t="s">
        <v>895</v>
      </c>
      <c r="Y19" s="848"/>
      <c r="Z19" s="1015"/>
      <c r="AB19" s="2121" t="s">
        <v>603</v>
      </c>
      <c r="AC19" s="2122"/>
      <c r="AD19" s="2126">
        <f>SUM(AD16:AD18)/AD15</f>
        <v>656.25</v>
      </c>
      <c r="AE19" s="2128" t="s">
        <v>213</v>
      </c>
      <c r="AF19"/>
      <c r="AG19"/>
      <c r="AH19"/>
      <c r="AI19"/>
      <c r="AJ19"/>
      <c r="AK19"/>
      <c r="AL19" s="9"/>
      <c r="AM19"/>
      <c r="AN19" s="9"/>
    </row>
    <row r="20" spans="1:246" s="9" customFormat="1" ht="24" customHeight="1" thickBot="1">
      <c r="A20" s="2177">
        <f>IF(E19&lt;0,"La minoration est déconseillée à cet endroit",0)</f>
        <v>0</v>
      </c>
      <c r="B20" s="2177"/>
      <c r="C20" s="2177"/>
      <c r="D20" s="2177"/>
      <c r="E20" s="2177"/>
      <c r="F20" s="2203"/>
      <c r="G20" s="2203"/>
      <c r="H20" s="2203"/>
      <c r="I20" s="2204"/>
      <c r="J20" s="849"/>
      <c r="K20" s="2049"/>
      <c r="L20" s="2049"/>
      <c r="M20" s="2049"/>
      <c r="N20" s="2049"/>
      <c r="O20" s="2049"/>
      <c r="P20" s="849"/>
      <c r="Q20" s="856"/>
      <c r="R20" s="856"/>
      <c r="S20" s="852"/>
      <c r="T20" s="852"/>
      <c r="U20" s="852"/>
      <c r="V20" s="852"/>
      <c r="W20" s="852"/>
      <c r="X20" s="2102" t="s">
        <v>574</v>
      </c>
      <c r="Y20" s="2103"/>
      <c r="Z20" s="2104"/>
      <c r="AB20" s="2122"/>
      <c r="AC20" s="2122"/>
      <c r="AD20" s="2127"/>
      <c r="AE20" s="2129"/>
      <c r="AI20" s="4"/>
      <c r="AN20" s="6"/>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row>
    <row r="21" spans="1:246" ht="26" customHeight="1" thickTop="1">
      <c r="A21" s="857"/>
      <c r="B21" s="853"/>
      <c r="C21" s="853"/>
      <c r="D21" s="853"/>
      <c r="E21" s="853"/>
      <c r="F21" s="854"/>
      <c r="G21" s="855"/>
      <c r="H21" s="856"/>
      <c r="I21" s="856"/>
      <c r="J21" s="856"/>
      <c r="K21" s="2050"/>
      <c r="L21" s="2050"/>
      <c r="M21" s="2050"/>
      <c r="N21" s="2050"/>
      <c r="O21" s="2050"/>
      <c r="P21" s="856"/>
      <c r="Q21" s="856"/>
      <c r="R21" s="856"/>
      <c r="S21" s="2118" t="s">
        <v>1135</v>
      </c>
      <c r="T21" s="2119"/>
      <c r="U21" s="2119"/>
      <c r="V21" s="2120"/>
      <c r="W21" s="662" t="s">
        <v>1133</v>
      </c>
      <c r="X21" s="2105"/>
      <c r="Y21" s="2106"/>
      <c r="Z21" s="2107"/>
      <c r="AA21" s="230"/>
      <c r="AB21" s="2096" t="s">
        <v>261</v>
      </c>
      <c r="AC21" s="2097"/>
      <c r="AD21" s="2098"/>
      <c r="AE21" s="2130" t="str">
        <f>ROUND(AD19/J23,0)&amp;" € /h"</f>
        <v>94 € /h</v>
      </c>
    </row>
    <row r="22" spans="1:246" ht="27" customHeight="1" thickBot="1">
      <c r="A22" s="2054" t="s">
        <v>901</v>
      </c>
      <c r="B22" s="2068"/>
      <c r="C22" s="2068"/>
      <c r="D22" s="2069"/>
      <c r="E22" s="2065" t="s">
        <v>258</v>
      </c>
      <c r="F22" s="2090" t="s">
        <v>962</v>
      </c>
      <c r="G22" s="2091"/>
      <c r="H22" s="2091"/>
      <c r="I22" s="2091"/>
      <c r="J22" s="2091"/>
      <c r="K22" s="2091"/>
      <c r="L22" s="2091"/>
      <c r="M22" s="2091"/>
      <c r="N22" s="2091"/>
      <c r="O22" s="2091"/>
      <c r="P22" s="2091"/>
      <c r="Q22" s="2091"/>
      <c r="R22" s="2092"/>
      <c r="S22" s="2081" t="s">
        <v>504</v>
      </c>
      <c r="T22" s="2082"/>
      <c r="U22" s="2082"/>
      <c r="V22" s="2083"/>
      <c r="W22" s="663" t="s">
        <v>878</v>
      </c>
      <c r="X22" s="2168" t="s">
        <v>1008</v>
      </c>
      <c r="Y22" s="2169"/>
      <c r="Z22" s="2170"/>
      <c r="AA22" s="230"/>
      <c r="AB22" s="2099"/>
      <c r="AC22" s="2100"/>
      <c r="AD22" s="2101"/>
      <c r="AE22" s="2131"/>
    </row>
    <row r="23" spans="1:246" ht="25" customHeight="1">
      <c r="A23" s="2070"/>
      <c r="B23" s="2071"/>
      <c r="C23" s="2071"/>
      <c r="D23" s="2072"/>
      <c r="E23" s="2076"/>
      <c r="F23" s="1667" t="s">
        <v>1203</v>
      </c>
      <c r="G23" s="684">
        <v>0.5</v>
      </c>
      <c r="H23" s="2084" t="str">
        <f>"en % du prix de journée : "&amp;E10&amp; " €  /"</f>
        <v>en % du prix de journée : 1000 €  /</v>
      </c>
      <c r="I23" s="2085"/>
      <c r="J23" s="1214">
        <v>7</v>
      </c>
      <c r="K23" s="1835"/>
      <c r="L23" s="1835"/>
      <c r="M23" s="2093" t="s">
        <v>1115</v>
      </c>
      <c r="N23" s="2093"/>
      <c r="O23" s="2093"/>
      <c r="P23" s="626"/>
      <c r="Q23" s="1275">
        <f>ROUND((E10*G23/J23),0)</f>
        <v>71</v>
      </c>
      <c r="R23" s="1668" t="s">
        <v>1136</v>
      </c>
      <c r="S23" s="2156">
        <v>0</v>
      </c>
      <c r="T23" s="2157"/>
      <c r="U23" s="2157"/>
      <c r="V23" s="2158"/>
      <c r="W23" s="1242">
        <f>Q23*S23</f>
        <v>0</v>
      </c>
      <c r="X23" s="2132" t="s">
        <v>1179</v>
      </c>
      <c r="Y23" s="2133"/>
      <c r="Z23" s="2134"/>
      <c r="AB23" s="410"/>
      <c r="AC23" s="36"/>
      <c r="AD23" s="36"/>
    </row>
    <row r="24" spans="1:246" ht="25" customHeight="1" thickBot="1">
      <c r="A24" s="2070"/>
      <c r="B24" s="2071"/>
      <c r="C24" s="2071"/>
      <c r="D24" s="2072"/>
      <c r="E24" s="2076"/>
      <c r="F24" s="1673" t="str">
        <f>IF(A33="x",'Fiche de prod'!A58,"Retouche / Modification de l'image")</f>
        <v>Retouche / Modification de l'image</v>
      </c>
      <c r="G24" s="1678">
        <f>IF(A33="x",'Fiche de prod'!G58,1)</f>
        <v>1</v>
      </c>
      <c r="H24" s="2086" t="str">
        <f>"en % du prix de journée : "&amp;E10&amp; " €  /"</f>
        <v>en % du prix de journée : 1000 €  /</v>
      </c>
      <c r="I24" s="2087"/>
      <c r="J24" s="1679">
        <f>J23</f>
        <v>7</v>
      </c>
      <c r="K24" s="1836"/>
      <c r="L24" s="1836"/>
      <c r="M24" s="2094"/>
      <c r="N24" s="2094"/>
      <c r="O24" s="2094"/>
      <c r="P24" s="627"/>
      <c r="Q24" s="1680">
        <f>ROUND((E10*G24/J24),0)</f>
        <v>143</v>
      </c>
      <c r="R24" s="1681" t="s">
        <v>1136</v>
      </c>
      <c r="S24" s="2078">
        <v>0</v>
      </c>
      <c r="T24" s="2079"/>
      <c r="U24" s="2079"/>
      <c r="V24" s="2080"/>
      <c r="W24" s="1882">
        <f>Q24*S24</f>
        <v>0</v>
      </c>
      <c r="X24" s="2132" t="s">
        <v>1180</v>
      </c>
      <c r="Y24" s="2133"/>
      <c r="Z24" s="2134"/>
      <c r="AB24" s="2153" t="s">
        <v>893</v>
      </c>
      <c r="AC24" s="2154"/>
      <c r="AD24" s="2155"/>
      <c r="AI24" s="17"/>
    </row>
    <row r="25" spans="1:246" ht="25" customHeight="1">
      <c r="A25" s="2073"/>
      <c r="B25" s="2074"/>
      <c r="C25" s="2074"/>
      <c r="D25" s="2075"/>
      <c r="E25" s="2077"/>
      <c r="F25" s="683" t="s">
        <v>45</v>
      </c>
      <c r="G25" s="685">
        <v>1.1000000000000001</v>
      </c>
      <c r="H25" s="2088" t="str">
        <f>"en % du prix de journée : "&amp;E10&amp; " €  /"</f>
        <v>en % du prix de journée : 1000 €  /</v>
      </c>
      <c r="I25" s="2089"/>
      <c r="J25" s="1219">
        <f>J23</f>
        <v>7</v>
      </c>
      <c r="K25" s="1219"/>
      <c r="L25" s="1219"/>
      <c r="M25" s="2095"/>
      <c r="N25" s="2095"/>
      <c r="O25" s="2095"/>
      <c r="P25" s="549"/>
      <c r="Q25" s="1276">
        <f>ROUND((E10*G25/J25),0)</f>
        <v>157</v>
      </c>
      <c r="R25" s="1243" t="s">
        <v>1136</v>
      </c>
      <c r="S25" s="2063">
        <v>0</v>
      </c>
      <c r="T25" s="2063"/>
      <c r="U25" s="2063"/>
      <c r="V25" s="2064"/>
      <c r="W25" s="1674">
        <f>Q25*S25</f>
        <v>0</v>
      </c>
      <c r="X25" s="2135" t="s">
        <v>1175</v>
      </c>
      <c r="Y25" s="2136"/>
      <c r="Z25" s="2137"/>
      <c r="AA25" s="18"/>
      <c r="AB25" s="2148" t="s">
        <v>422</v>
      </c>
      <c r="AC25" s="2149"/>
      <c r="AD25" s="1271">
        <f>'Devis-Fact'!E66*0.011</f>
        <v>0</v>
      </c>
      <c r="AI25" s="17"/>
    </row>
    <row r="26" spans="1:246" s="46" customFormat="1" ht="22" customHeight="1">
      <c r="E26" s="1"/>
      <c r="F26" s="151" t="s">
        <v>923</v>
      </c>
      <c r="R26" s="293"/>
      <c r="S26" s="2053" t="s">
        <v>1205</v>
      </c>
      <c r="T26" s="2053"/>
      <c r="U26" s="2053"/>
      <c r="V26" s="2053"/>
      <c r="AB26" s="2159" t="s">
        <v>1187</v>
      </c>
      <c r="AC26" s="2160"/>
      <c r="AD26" s="2160"/>
      <c r="AE26" s="48"/>
      <c r="AI26" s="49"/>
      <c r="AJ26" s="47"/>
      <c r="AK26" s="47"/>
      <c r="AL26" s="48"/>
      <c r="AM26" s="47"/>
      <c r="AN26" s="48"/>
    </row>
    <row r="27" spans="1:246" ht="20" customHeight="1">
      <c r="A27" s="2054" t="s">
        <v>1096</v>
      </c>
      <c r="B27" s="2055"/>
      <c r="C27" s="2055"/>
      <c r="D27" s="2056"/>
      <c r="E27" s="2065" t="s">
        <v>563</v>
      </c>
      <c r="F27" s="158"/>
      <c r="G27" s="159"/>
      <c r="H27" s="159"/>
      <c r="I27" s="159"/>
      <c r="J27" s="159"/>
      <c r="K27" s="159"/>
      <c r="L27" s="159"/>
      <c r="M27" s="159"/>
      <c r="N27" s="159"/>
      <c r="O27" s="159"/>
      <c r="P27" s="159"/>
      <c r="Q27" s="159"/>
      <c r="R27" s="294"/>
      <c r="S27" s="159"/>
      <c r="T27" s="159"/>
      <c r="U27" s="159"/>
      <c r="V27" s="159"/>
      <c r="W27" s="160"/>
      <c r="X27" s="2150" t="s">
        <v>310</v>
      </c>
      <c r="Y27" s="2151"/>
      <c r="Z27" s="1992"/>
      <c r="AA27" s="1992"/>
      <c r="AB27" s="1992"/>
      <c r="AC27" s="1992"/>
      <c r="AD27" s="2152"/>
      <c r="AE27" s="6"/>
      <c r="AI27" s="20"/>
      <c r="AN27" s="9"/>
    </row>
    <row r="28" spans="1:246" ht="24" customHeight="1">
      <c r="A28" s="2057"/>
      <c r="B28" s="2058"/>
      <c r="C28" s="2058"/>
      <c r="D28" s="2059"/>
      <c r="E28" s="2066"/>
      <c r="F28" s="155" t="s">
        <v>978</v>
      </c>
      <c r="G28" s="156"/>
      <c r="H28" s="156"/>
      <c r="I28" s="156"/>
      <c r="J28" s="156"/>
      <c r="K28" s="156"/>
      <c r="L28" s="156"/>
      <c r="M28" s="156"/>
      <c r="N28" s="156"/>
      <c r="O28" s="156"/>
      <c r="P28" s="156"/>
      <c r="Q28" s="157" t="s">
        <v>722</v>
      </c>
      <c r="R28" s="295"/>
      <c r="S28" s="157" t="s">
        <v>1054</v>
      </c>
      <c r="T28" s="157"/>
      <c r="U28" s="157"/>
      <c r="V28" s="157"/>
      <c r="W28" s="1883"/>
      <c r="X28" s="2140" t="s">
        <v>30</v>
      </c>
      <c r="Y28" s="2141"/>
      <c r="Z28" s="2142"/>
      <c r="AA28" s="2142"/>
      <c r="AB28" s="2142"/>
      <c r="AC28" s="2142"/>
      <c r="AD28" s="2143"/>
      <c r="AI28" s="20"/>
      <c r="AN28"/>
    </row>
    <row r="29" spans="1:246" ht="28" customHeight="1">
      <c r="A29" s="2057"/>
      <c r="B29" s="2058"/>
      <c r="C29" s="2058"/>
      <c r="D29" s="2059"/>
      <c r="E29" s="2066"/>
      <c r="F29" s="1046" t="s">
        <v>1158</v>
      </c>
      <c r="G29" s="686">
        <v>0.25</v>
      </c>
      <c r="H29" s="2051" t="str">
        <f>"en % du prix de journée : "&amp;E10&amp; " €  /"</f>
        <v>en % du prix de journée : 1000 €  /</v>
      </c>
      <c r="I29" s="2052"/>
      <c r="J29" s="1272">
        <f>J23</f>
        <v>7</v>
      </c>
      <c r="K29" s="1272"/>
      <c r="L29" s="1272"/>
      <c r="M29" s="1272"/>
      <c r="N29" s="1272"/>
      <c r="O29" s="1273"/>
      <c r="P29" s="1273"/>
      <c r="Q29" s="1277">
        <f>ROUND((E10*G29/J29),0)</f>
        <v>36</v>
      </c>
      <c r="R29" s="1274" t="s">
        <v>572</v>
      </c>
      <c r="S29" s="2138">
        <v>0</v>
      </c>
      <c r="T29" s="2138"/>
      <c r="U29" s="2138"/>
      <c r="V29" s="2139"/>
      <c r="W29" s="1885">
        <f>Q29*S29</f>
        <v>0</v>
      </c>
      <c r="X29" s="2144"/>
      <c r="Y29" s="2144"/>
      <c r="Z29" s="2142"/>
      <c r="AA29" s="2142"/>
      <c r="AB29" s="2142"/>
      <c r="AC29" s="2142"/>
      <c r="AD29" s="2143"/>
      <c r="AI29" s="20"/>
      <c r="AN29"/>
    </row>
    <row r="30" spans="1:246" s="12" customFormat="1" ht="24" customHeight="1">
      <c r="A30" s="2060"/>
      <c r="B30" s="2061"/>
      <c r="C30" s="2061"/>
      <c r="D30" s="2062"/>
      <c r="E30" s="2067"/>
      <c r="F30" s="136"/>
      <c r="G30" s="137"/>
      <c r="H30" s="137"/>
      <c r="I30" s="137"/>
      <c r="J30" s="137"/>
      <c r="K30" s="137"/>
      <c r="L30" s="137"/>
      <c r="M30" s="137"/>
      <c r="N30" s="137"/>
      <c r="O30" s="137"/>
      <c r="P30" s="137"/>
      <c r="Q30" s="137"/>
      <c r="R30" s="137"/>
      <c r="S30" s="137"/>
      <c r="T30" s="137"/>
      <c r="U30" s="137"/>
      <c r="V30" s="137"/>
      <c r="W30" s="1884"/>
      <c r="X30" s="2145"/>
      <c r="Y30" s="2146"/>
      <c r="Z30" s="2146"/>
      <c r="AA30" s="2146"/>
      <c r="AB30" s="2146"/>
      <c r="AC30" s="2146"/>
      <c r="AD30" s="2147"/>
      <c r="AE30" s="11"/>
      <c r="AI30" s="20"/>
      <c r="AN3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row>
    <row r="31" spans="1:246" ht="20" customHeight="1">
      <c r="E31" s="103"/>
      <c r="H31" s="59"/>
      <c r="I31" s="59"/>
      <c r="J31" s="59"/>
      <c r="K31" s="1834"/>
      <c r="L31" s="1834"/>
      <c r="M31" s="1834"/>
      <c r="N31" s="1834"/>
      <c r="O31" s="59"/>
      <c r="P31" s="59"/>
      <c r="Q31" s="54"/>
      <c r="R31" s="54"/>
      <c r="S31" s="54"/>
      <c r="T31" s="54"/>
      <c r="U31" s="54"/>
      <c r="V31" s="54"/>
      <c r="AC31" s="111"/>
      <c r="AG31"/>
      <c r="AH31"/>
      <c r="AI31" s="13"/>
    </row>
    <row r="32" spans="1:246" ht="17">
      <c r="E32" s="1728" t="s">
        <v>175</v>
      </c>
      <c r="F32" s="1729"/>
      <c r="G32" s="1729"/>
    </row>
    <row r="33" spans="1:9" ht="18">
      <c r="A33"/>
      <c r="B33"/>
      <c r="C33"/>
      <c r="D33"/>
      <c r="E33" s="1721" t="s">
        <v>157</v>
      </c>
      <c r="F33" s="340"/>
      <c r="G33" s="1722">
        <v>0.6</v>
      </c>
      <c r="H33"/>
      <c r="I33"/>
    </row>
    <row r="34" spans="1:9" ht="18">
      <c r="A34"/>
      <c r="B34"/>
      <c r="C34"/>
      <c r="D34"/>
      <c r="E34" s="1723" t="s">
        <v>158</v>
      </c>
      <c r="F34" s="342"/>
      <c r="G34" s="1724">
        <v>0.8</v>
      </c>
      <c r="H34" s="1817" t="s">
        <v>1190</v>
      </c>
      <c r="I34"/>
    </row>
    <row r="35" spans="1:9" ht="18">
      <c r="A35"/>
      <c r="B35"/>
      <c r="C35"/>
      <c r="D35"/>
      <c r="E35" s="1723" t="s">
        <v>1185</v>
      </c>
      <c r="F35" s="342"/>
      <c r="G35" s="1724">
        <v>1</v>
      </c>
      <c r="H35" s="1817" t="s">
        <v>1188</v>
      </c>
      <c r="I35"/>
    </row>
    <row r="36" spans="1:9" ht="17">
      <c r="E36" s="1725" t="s">
        <v>1186</v>
      </c>
      <c r="F36" s="1726"/>
      <c r="G36" s="1727">
        <v>1.4</v>
      </c>
    </row>
    <row r="37" spans="1:9" ht="17">
      <c r="E37" s="1725" t="s">
        <v>160</v>
      </c>
      <c r="F37" s="1726"/>
      <c r="G37" s="1727">
        <v>1.1000000000000001</v>
      </c>
      <c r="H37" s="1817" t="s">
        <v>1189</v>
      </c>
      <c r="I37" s="7"/>
    </row>
    <row r="38" spans="1:9" ht="17">
      <c r="E38" s="1719"/>
      <c r="F38" s="1669"/>
      <c r="G38" s="1720"/>
    </row>
    <row r="39" spans="1:9" ht="19">
      <c r="E39" s="1818" t="s">
        <v>1169</v>
      </c>
      <c r="F39" s="1819"/>
      <c r="G39" s="1820">
        <v>0.9</v>
      </c>
      <c r="I39" s="7"/>
    </row>
    <row r="40" spans="1:9" ht="19">
      <c r="E40" s="1818" t="s">
        <v>1170</v>
      </c>
      <c r="F40" s="1819"/>
      <c r="G40" s="1820">
        <v>1</v>
      </c>
    </row>
    <row r="41" spans="1:9" ht="19">
      <c r="E41" s="1818" t="s">
        <v>1168</v>
      </c>
      <c r="F41" s="1819"/>
      <c r="G41" s="1820">
        <v>1.1000000000000001</v>
      </c>
      <c r="I41" s="7"/>
    </row>
    <row r="42" spans="1:9" ht="19">
      <c r="E42" s="1818" t="s">
        <v>1191</v>
      </c>
      <c r="F42" s="1819"/>
      <c r="G42" s="1820">
        <v>1.5</v>
      </c>
    </row>
    <row r="43" spans="1:9" ht="17">
      <c r="E43" s="1719"/>
    </row>
    <row r="44" spans="1:9" ht="19">
      <c r="E44" s="1819" t="s">
        <v>1172</v>
      </c>
      <c r="F44" s="1819"/>
      <c r="G44" s="1820">
        <v>1.1000000000000001</v>
      </c>
    </row>
    <row r="45" spans="1:9" ht="19">
      <c r="E45" s="1819" t="s">
        <v>1171</v>
      </c>
      <c r="F45" s="1819"/>
      <c r="G45" s="1820">
        <v>1.2</v>
      </c>
    </row>
    <row r="46" spans="1:9" ht="19">
      <c r="E46" s="1819" t="s">
        <v>1173</v>
      </c>
      <c r="F46" s="1819"/>
      <c r="G46" s="1820">
        <v>0.9</v>
      </c>
    </row>
  </sheetData>
  <mergeCells count="82">
    <mergeCell ref="J6:J13"/>
    <mergeCell ref="K10:O12"/>
    <mergeCell ref="AB5:AC6"/>
    <mergeCell ref="AD5:AE6"/>
    <mergeCell ref="Z7:Z10"/>
    <mergeCell ref="AB9:AC9"/>
    <mergeCell ref="AD8:AE9"/>
    <mergeCell ref="AA5:AA13"/>
    <mergeCell ref="AB7:AE7"/>
    <mergeCell ref="A1:AE1"/>
    <mergeCell ref="V8:V12"/>
    <mergeCell ref="T7:V7"/>
    <mergeCell ref="X7:X13"/>
    <mergeCell ref="A2:AE2"/>
    <mergeCell ref="AB8:AC8"/>
    <mergeCell ref="A5:B9"/>
    <mergeCell ref="F4:AC4"/>
    <mergeCell ref="H5:J5"/>
    <mergeCell ref="Q5:Z6"/>
    <mergeCell ref="I8:I9"/>
    <mergeCell ref="A3:AE3"/>
    <mergeCell ref="AB11:AE12"/>
    <mergeCell ref="AD10:AE10"/>
    <mergeCell ref="Q10:Q12"/>
    <mergeCell ref="AB10:AC10"/>
    <mergeCell ref="D5:E5"/>
    <mergeCell ref="I6:I7"/>
    <mergeCell ref="P8:P13"/>
    <mergeCell ref="X22:Z22"/>
    <mergeCell ref="S8:S10"/>
    <mergeCell ref="I11:I13"/>
    <mergeCell ref="A20:E20"/>
    <mergeCell ref="A19:D19"/>
    <mergeCell ref="G11:G13"/>
    <mergeCell ref="E12:E18"/>
    <mergeCell ref="A12:D18"/>
    <mergeCell ref="A10:C11"/>
    <mergeCell ref="Y7:Y13"/>
    <mergeCell ref="T19:V19"/>
    <mergeCell ref="F19:I20"/>
    <mergeCell ref="R19:S19"/>
    <mergeCell ref="X23:Z23"/>
    <mergeCell ref="X24:Z24"/>
    <mergeCell ref="X25:Z25"/>
    <mergeCell ref="S29:V29"/>
    <mergeCell ref="X28:AD30"/>
    <mergeCell ref="AB25:AC25"/>
    <mergeCell ref="X27:AD27"/>
    <mergeCell ref="AB24:AD24"/>
    <mergeCell ref="S23:V23"/>
    <mergeCell ref="AB26:AD26"/>
    <mergeCell ref="AB21:AD22"/>
    <mergeCell ref="X20:Z21"/>
    <mergeCell ref="S11:S13"/>
    <mergeCell ref="W11:W13"/>
    <mergeCell ref="T8:T12"/>
    <mergeCell ref="U8:U12"/>
    <mergeCell ref="S21:V21"/>
    <mergeCell ref="AB19:AC20"/>
    <mergeCell ref="AB14:AE14"/>
    <mergeCell ref="AD19:AD20"/>
    <mergeCell ref="AE19:AE20"/>
    <mergeCell ref="AE21:AE22"/>
    <mergeCell ref="H29:I29"/>
    <mergeCell ref="S26:V26"/>
    <mergeCell ref="A27:D30"/>
    <mergeCell ref="S25:V25"/>
    <mergeCell ref="E27:E30"/>
    <mergeCell ref="A22:D25"/>
    <mergeCell ref="E22:E25"/>
    <mergeCell ref="S24:V24"/>
    <mergeCell ref="S22:V22"/>
    <mergeCell ref="H23:I23"/>
    <mergeCell ref="H24:I24"/>
    <mergeCell ref="H25:I25"/>
    <mergeCell ref="F22:R22"/>
    <mergeCell ref="M23:O25"/>
    <mergeCell ref="K19:K21"/>
    <mergeCell ref="L19:L21"/>
    <mergeCell ref="M19:M21"/>
    <mergeCell ref="N19:N21"/>
    <mergeCell ref="O19:O21"/>
  </mergeCells>
  <phoneticPr fontId="45" type="noConversion"/>
  <conditionalFormatting sqref="G6:G10">
    <cfRule type="cellIs" dxfId="86" priority="0" stopIfTrue="1" operator="equal">
      <formula>"x"</formula>
    </cfRule>
  </conditionalFormatting>
  <conditionalFormatting sqref="D10 X14:X18">
    <cfRule type="cellIs" dxfId="85" priority="1" stopIfTrue="1" operator="equal">
      <formula>"x"</formula>
    </cfRule>
  </conditionalFormatting>
  <conditionalFormatting sqref="C6:C8">
    <cfRule type="cellIs" dxfId="84" priority="2" stopIfTrue="1" operator="equal">
      <formula>"x"</formula>
    </cfRule>
  </conditionalFormatting>
  <conditionalFormatting sqref="E19">
    <cfRule type="cellIs" dxfId="83" priority="3" stopIfTrue="1" operator="lessThan">
      <formula>0</formula>
    </cfRule>
    <cfRule type="cellIs" dxfId="82" priority="3" stopIfTrue="1" operator="greaterThan">
      <formula>0</formula>
    </cfRule>
  </conditionalFormatting>
  <conditionalFormatting sqref="A20:E20">
    <cfRule type="cellIs" dxfId="81" priority="5" stopIfTrue="1" operator="equal">
      <formula>0</formula>
    </cfRule>
    <cfRule type="expression" dxfId="80" priority="5" stopIfTrue="1">
      <formula>NOT(ISERROR(SEARCH("minoration",A20)))</formula>
    </cfRule>
  </conditionalFormatting>
  <conditionalFormatting sqref="AA14:AA18">
    <cfRule type="cellIs" dxfId="79" priority="6" stopIfTrue="1" operator="greaterThan">
      <formula>0</formula>
    </cfRule>
  </conditionalFormatting>
  <conditionalFormatting sqref="R14:R18 Y14:Y18">
    <cfRule type="cellIs" dxfId="78" priority="7" stopIfTrue="1" operator="equal">
      <formula>0</formula>
    </cfRule>
  </conditionalFormatting>
  <conditionalFormatting sqref="E11">
    <cfRule type="cellIs" dxfId="77" priority="8" stopIfTrue="1" operator="equal">
      <formula>"Voir seuil de rentabilité"</formula>
    </cfRule>
  </conditionalFormatting>
  <conditionalFormatting sqref="W23:W25 W29 S14:W18 H14:I18">
    <cfRule type="cellIs" dxfId="76" priority="9" stopIfTrue="1" operator="equal">
      <formula>0</formula>
    </cfRule>
  </conditionalFormatting>
  <printOptions horizontalCentered="1" verticalCentered="1"/>
  <pageMargins left="0.33" right="0.25" top="0.79071969696969702" bottom="0.6100000000000001" header="0.47" footer="0.51"/>
  <pageSetup paperSize="10" scale="31" orientation="landscape" horizontalDpi="4294967292" verticalDpi="4294967292"/>
  <headerFooter>
    <oddHeader xml:space="preserve">&amp;C&amp;"Arial,Gras"&amp;22CALCUL DES PRISES DE VUE DIT "AU TEMPS PASSÉ", POST-PRODUCTION, RETOUCHE  </oddHeader>
    <oddFooter xml:space="preserve">&amp;C© 2011/2012/2017/2018/2019 eric deamarre - Document GPLA </oddFooter>
  </headerFooter>
  <ignoredErrors>
    <ignoredError sqref="F6:F8 G24 U15:V15 R20:R22 T15 T18 T19:T22 O22:Q22 R23:R24 F24 S20:S22 W16 P23:P24 T16:T17 P16 U16:V17 P14:P15 F19:H22 U19:V22 I16:I17 I19:I22 J19:J22 U18:V18 I18 P17 P18 P19 P20:Q21" emptyCellReference="1"/>
  </ignoredErrors>
  <drawing r:id="rId1"/>
  <legacyDrawing r:id="rId2"/>
  <extLst>
    <ext xmlns:mx="http://schemas.microsoft.com/office/mac/excel/2008/main" uri="http://schemas.microsoft.com/office/mac/excel/2008/main">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75"/>
  <sheetViews>
    <sheetView showGridLines="0" view="pageLayout" topLeftCell="A37" zoomScale="75" zoomScaleNormal="75" zoomScalePageLayoutView="75" workbookViewId="0">
      <selection activeCell="C27" sqref="C27"/>
    </sheetView>
  </sheetViews>
  <sheetFormatPr baseColWidth="10" defaultRowHeight="18"/>
  <cols>
    <col min="1" max="1" width="25.125" customWidth="1"/>
    <col min="2" max="2" width="31.625" customWidth="1"/>
    <col min="3" max="3" width="23" customWidth="1"/>
    <col min="4" max="4" width="2.75" customWidth="1"/>
    <col min="5" max="5" width="19.625" customWidth="1"/>
    <col min="6" max="6" width="12.625" customWidth="1"/>
    <col min="7" max="7" width="18.625" customWidth="1"/>
    <col min="8" max="8" width="20.5" customWidth="1"/>
    <col min="9" max="9" width="20.75" customWidth="1"/>
    <col min="10" max="10" width="25" customWidth="1"/>
    <col min="11" max="11" width="27.5" customWidth="1"/>
    <col min="12" max="12" width="3" customWidth="1"/>
    <col min="13" max="13" width="13.75" customWidth="1"/>
    <col min="14" max="14" width="10.875" customWidth="1"/>
    <col min="15" max="15" width="13.25" customWidth="1"/>
    <col min="16" max="26" width="8.125" customWidth="1"/>
    <col min="27" max="27" width="14.625" customWidth="1"/>
  </cols>
  <sheetData>
    <row r="1" spans="1:14" s="129" customFormat="1" ht="33" customHeight="1">
      <c r="A1" s="2290" t="s">
        <v>1038</v>
      </c>
      <c r="B1" s="2291"/>
      <c r="C1" s="2291"/>
      <c r="D1" s="2291"/>
      <c r="E1" s="2291"/>
      <c r="F1" s="2291"/>
      <c r="G1" s="2291"/>
      <c r="H1" s="2291"/>
      <c r="I1" s="2291"/>
      <c r="J1" s="2291"/>
      <c r="K1" s="2292"/>
      <c r="L1" s="755"/>
    </row>
    <row r="2" spans="1:14" ht="12" customHeight="1" thickBot="1">
      <c r="E2" s="9"/>
      <c r="F2" s="126"/>
      <c r="G2" s="126"/>
      <c r="H2" s="126"/>
      <c r="I2" s="126"/>
      <c r="J2" s="126"/>
      <c r="K2" s="126"/>
      <c r="L2" s="756"/>
    </row>
    <row r="3" spans="1:14" ht="35" customHeight="1" thickTop="1" thickBot="1">
      <c r="A3" s="2293" t="s">
        <v>1221</v>
      </c>
      <c r="B3" s="2294"/>
      <c r="C3" s="2294"/>
      <c r="D3" s="2294"/>
      <c r="E3" s="2294"/>
      <c r="F3" s="2294"/>
      <c r="G3" s="2294"/>
      <c r="H3" s="2294"/>
      <c r="I3" s="2294"/>
      <c r="J3" s="2294"/>
      <c r="K3" s="2295"/>
      <c r="L3" s="758"/>
      <c r="M3" s="2378" t="s">
        <v>1025</v>
      </c>
      <c r="N3" s="1141"/>
    </row>
    <row r="4" spans="1:14" s="101" customFormat="1" ht="55" customHeight="1">
      <c r="A4" s="2324" t="s">
        <v>1065</v>
      </c>
      <c r="B4" s="2325"/>
      <c r="C4" s="2326"/>
      <c r="D4" s="1207"/>
      <c r="E4" s="2413" t="s">
        <v>28</v>
      </c>
      <c r="F4" s="1200"/>
      <c r="G4" s="1632" t="str">
        <f>IF(G7+G13+G18+G23+G28=0,"","De 2 à 5 pdv")</f>
        <v/>
      </c>
      <c r="H4" s="1633" t="str">
        <f>IF(H7+H13+H18+H23+H28=0,"","De 6 à 25  pdv")</f>
        <v/>
      </c>
      <c r="I4" s="1634" t="str">
        <f>IF(I7+I13+I18+I23+I28=0,"","De 26 à 50 pdv")</f>
        <v/>
      </c>
      <c r="J4" s="2409" t="s">
        <v>206</v>
      </c>
      <c r="K4" s="2410"/>
      <c r="L4" s="758"/>
      <c r="M4" s="2379"/>
      <c r="N4" s="1142"/>
    </row>
    <row r="5" spans="1:14" s="101" customFormat="1" ht="22" customHeight="1" thickBot="1">
      <c r="A5" s="2327"/>
      <c r="B5" s="2328"/>
      <c r="C5" s="2329"/>
      <c r="D5" s="830"/>
      <c r="E5" s="2302"/>
      <c r="F5" s="1208"/>
      <c r="G5" s="1635" t="str">
        <f>IF(G8+G14+G19+G24+G29&gt;0,"&amp;","")</f>
        <v/>
      </c>
      <c r="H5" s="1635" t="str">
        <f>IF(H8+H14+H19+H24+H29&gt;0,"&amp;","")</f>
        <v/>
      </c>
      <c r="I5" s="1635" t="str">
        <f>IF(I8+I14+I19+I24+I29&gt;0,"&amp;","")</f>
        <v/>
      </c>
      <c r="J5" s="2411"/>
      <c r="K5" s="2412"/>
      <c r="L5" s="758"/>
      <c r="M5" s="2379"/>
      <c r="N5" s="1142"/>
    </row>
    <row r="6" spans="1:14" ht="65" thickTop="1" thickBot="1">
      <c r="A6" s="407" t="s">
        <v>705</v>
      </c>
      <c r="B6" s="408" t="s">
        <v>885</v>
      </c>
      <c r="C6" s="1201" t="s">
        <v>721</v>
      </c>
      <c r="D6" s="831"/>
      <c r="E6" s="1209" t="s">
        <v>1167</v>
      </c>
      <c r="F6" s="1213" t="s">
        <v>994</v>
      </c>
      <c r="G6" s="1636" t="str">
        <f>IF(G8+G14+G19+G24+G29=0,"","De 51 à 75  pdv")</f>
        <v/>
      </c>
      <c r="H6" s="1637" t="str">
        <f>IF(H8+H14+H19+H24+H29=0,"","De 76 à 100 pdv")</f>
        <v/>
      </c>
      <c r="I6" s="1638" t="str">
        <f>IF(I8+I14+I19+I24+I29=0,"","Plus de 100 pdv")</f>
        <v/>
      </c>
      <c r="J6" s="1199" t="s">
        <v>1102</v>
      </c>
      <c r="K6" s="1250" t="s">
        <v>953</v>
      </c>
      <c r="L6" s="757"/>
      <c r="M6" s="2380"/>
      <c r="N6" s="1142"/>
    </row>
    <row r="7" spans="1:14" ht="21" hidden="1" thickBot="1">
      <c r="A7" s="2321"/>
      <c r="B7" s="2322"/>
      <c r="C7" s="2323"/>
      <c r="D7" s="1391"/>
      <c r="E7" s="1392"/>
      <c r="F7" s="1393"/>
      <c r="G7" s="1394">
        <f>IF(C11=0,0,IF(C11&lt;6,C11-1,4))</f>
        <v>0</v>
      </c>
      <c r="H7" s="1395">
        <f>IF(C11&lt;6,0,IF(AND(C11&gt;5,C11&lt;26),C11-5,25-5))</f>
        <v>0</v>
      </c>
      <c r="I7" s="1395">
        <f>IF(C11&lt;26,0,IF(AND(C11&gt;25,C11&lt;51),C11-25,50-25))</f>
        <v>0</v>
      </c>
      <c r="J7" s="1411"/>
      <c r="K7" s="1412"/>
      <c r="L7" s="757"/>
      <c r="M7" s="1034"/>
      <c r="N7" s="1033"/>
    </row>
    <row r="8" spans="1:14" ht="21" hidden="1" thickBot="1">
      <c r="A8" s="1396">
        <f>E11*0.666</f>
        <v>29.970000000000002</v>
      </c>
      <c r="B8" s="1397">
        <f>E11*0.577</f>
        <v>25.964999999999996</v>
      </c>
      <c r="C8" s="1397">
        <f>E11*0.266</f>
        <v>11.97</v>
      </c>
      <c r="D8" s="1398"/>
      <c r="E8" s="1399"/>
      <c r="F8" s="1400"/>
      <c r="G8" s="1394">
        <f>IF(C11&lt;51,0,IF(AND(C11&gt;50,C11&lt;76),C11-50,75-50))</f>
        <v>0</v>
      </c>
      <c r="H8" s="1395">
        <f>IF(C11&lt;76,0,IF(AND(C11&gt;75,C11&lt;101),C11-75,100-75))</f>
        <v>0</v>
      </c>
      <c r="I8" s="1395">
        <f>IF(C11&gt;100,C11-100,0)</f>
        <v>0</v>
      </c>
      <c r="J8" s="1411"/>
      <c r="K8" s="1412"/>
      <c r="L8" s="757"/>
      <c r="M8" s="1187"/>
      <c r="N8" s="1033"/>
    </row>
    <row r="9" spans="1:14" ht="21" hidden="1" thickBot="1">
      <c r="A9" s="1401">
        <f>E11*0.222</f>
        <v>9.99</v>
      </c>
      <c r="B9" s="1397">
        <f>E11*0.177</f>
        <v>7.9649999999999999</v>
      </c>
      <c r="C9" s="1397">
        <f>E11*0.111</f>
        <v>4.9950000000000001</v>
      </c>
      <c r="D9" s="1398"/>
      <c r="E9" s="1399"/>
      <c r="F9" s="1400"/>
      <c r="G9" s="1402">
        <f>IF(G7&gt;0,A8,0)</f>
        <v>0</v>
      </c>
      <c r="H9" s="1403">
        <f t="shared" ref="G9:I10" si="0">IF(H7&gt;0,B8,0)</f>
        <v>0</v>
      </c>
      <c r="I9" s="1403">
        <f t="shared" si="0"/>
        <v>0</v>
      </c>
      <c r="J9" s="1411"/>
      <c r="K9" s="1412"/>
      <c r="L9" s="757"/>
      <c r="M9" s="1187"/>
      <c r="N9" s="1033"/>
    </row>
    <row r="10" spans="1:14" ht="21" hidden="1" thickBot="1">
      <c r="A10" s="1404"/>
      <c r="B10" s="1405"/>
      <c r="C10" s="1406"/>
      <c r="D10" s="1398"/>
      <c r="E10" s="1407"/>
      <c r="F10" s="1408"/>
      <c r="G10" s="1402">
        <f t="shared" si="0"/>
        <v>0</v>
      </c>
      <c r="H10" s="1403">
        <f t="shared" si="0"/>
        <v>0</v>
      </c>
      <c r="I10" s="1403">
        <f t="shared" si="0"/>
        <v>0</v>
      </c>
      <c r="J10" s="1411"/>
      <c r="K10" s="1412"/>
      <c r="L10" s="757"/>
      <c r="M10" s="1187"/>
      <c r="N10" s="1033"/>
    </row>
    <row r="11" spans="1:14" ht="26" customHeight="1" thickTop="1" thickBot="1">
      <c r="A11" s="1278">
        <v>1</v>
      </c>
      <c r="B11" s="1196" t="s">
        <v>1129</v>
      </c>
      <c r="C11" s="1202">
        <v>0</v>
      </c>
      <c r="D11" s="832"/>
      <c r="E11" s="1210">
        <v>45</v>
      </c>
      <c r="F11" s="1198">
        <v>0.8</v>
      </c>
      <c r="G11" s="1195">
        <f>(G7*G9)+(G8*G10)</f>
        <v>0</v>
      </c>
      <c r="H11" s="1195">
        <f t="shared" ref="H11:I11" si="1">(H7*H9)+(H8*H10)</f>
        <v>0</v>
      </c>
      <c r="I11" s="1245">
        <f t="shared" si="1"/>
        <v>0</v>
      </c>
      <c r="J11" s="1581">
        <f>IF(C12&gt;0,0,IF(C11=0,0,$N$11))</f>
        <v>0</v>
      </c>
      <c r="K11" s="1589">
        <f>IF(C11=0,0,IF(C12&gt;0,0,(E11+SUM(G11:I11))*(1+$E$39))+(J11*C11))</f>
        <v>0</v>
      </c>
      <c r="L11" s="759"/>
      <c r="M11" s="1035">
        <v>8</v>
      </c>
      <c r="N11" s="1281">
        <f>ROUND((M22*M32/'Temps passé'!J23)/60*'Portraits corpo &amp; catal objets'!M11,0)</f>
        <v>8</v>
      </c>
    </row>
    <row r="12" spans="1:14" ht="26" customHeight="1" thickTop="1" thickBot="1">
      <c r="A12" s="1212">
        <f>IF(C12=1,"A partir de 2",0)</f>
        <v>0</v>
      </c>
      <c r="B12" s="1197" t="s">
        <v>1147</v>
      </c>
      <c r="C12" s="1203">
        <v>0</v>
      </c>
      <c r="D12" s="832"/>
      <c r="E12" s="1211">
        <f>IF(AND(C12&gt;0,C11=0),"ERREUR",IF(C12=0,0,E11*0.75))</f>
        <v>0</v>
      </c>
      <c r="F12" s="1194">
        <f>IF(C12=0,0,F11/2.3)</f>
        <v>0</v>
      </c>
      <c r="G12" s="1590">
        <f>IF(C12=0,0,IF(AND(1&lt;(C12*C11),(C12*C11)&lt;6),(E12*F12),0))</f>
        <v>0</v>
      </c>
      <c r="H12" s="1590">
        <f>IF(C12=0,0,IF(AND(5&lt;(C12*C11),(C12*C11)&lt;11),(E12*F12*0.9),0))</f>
        <v>0</v>
      </c>
      <c r="I12" s="1591">
        <f>IF(C12=0,0,IF(10&lt;(C12*C11),(E12*F12*0.8),0))</f>
        <v>0</v>
      </c>
      <c r="J12" s="1531">
        <f>IF(C12=0,0,$N$11)</f>
        <v>0</v>
      </c>
      <c r="K12" s="1592">
        <f>IF(AND(C12&gt;0,C11=0),"ERREUR",IF(C12=0,0,(E11+SUM(G11:I11)+(SUM(G12:I12))*(C11*(C12-1))*(1+$E$39))+(N11*C11*C12)))</f>
        <v>0</v>
      </c>
      <c r="L12" s="759"/>
      <c r="M12" s="2407"/>
      <c r="N12" s="2408"/>
    </row>
    <row r="13" spans="1:14" ht="20" hidden="1">
      <c r="A13" s="2330"/>
      <c r="B13" s="2331"/>
      <c r="C13" s="2332"/>
      <c r="D13" s="1613"/>
      <c r="E13" s="1614"/>
      <c r="F13" s="1615"/>
      <c r="G13" s="1616">
        <f>IF(C17=0,0,IF(C17&lt;6,C17-1,4))</f>
        <v>0</v>
      </c>
      <c r="H13" s="1617">
        <f>IF(C17&lt;6,0,IF(AND(C17&gt;5,C17&lt;26),C17-5,25-5))</f>
        <v>0</v>
      </c>
      <c r="I13" s="1617">
        <f>IF(C17&lt;26,0,IF(AND(C17&gt;25,C17&lt;51),C17-25,50-25))</f>
        <v>0</v>
      </c>
      <c r="J13" s="1618"/>
      <c r="K13" s="1619"/>
      <c r="L13" s="759"/>
      <c r="M13" s="1380"/>
      <c r="N13" s="1381"/>
    </row>
    <row r="14" spans="1:14" ht="20" hidden="1">
      <c r="A14" s="1620">
        <f>E17*0.666</f>
        <v>0</v>
      </c>
      <c r="B14" s="1621">
        <f>E17*0.577</f>
        <v>0</v>
      </c>
      <c r="C14" s="1621">
        <f>E17*0.266</f>
        <v>0</v>
      </c>
      <c r="D14" s="1613"/>
      <c r="E14" s="1622"/>
      <c r="F14" s="1623"/>
      <c r="G14" s="1616">
        <f>IF(C17&lt;51,0,IF(AND(C17&gt;50,C17&lt;76),C17-50,75-50))</f>
        <v>0</v>
      </c>
      <c r="H14" s="1617">
        <f>IF(C17&lt;76,0,IF(AND(C17&gt;75,C17&lt;101),C17-75,100-75))</f>
        <v>0</v>
      </c>
      <c r="I14" s="1617">
        <f>IF(C17&gt;100,C17-100,0)</f>
        <v>0</v>
      </c>
      <c r="J14" s="1618"/>
      <c r="K14" s="1619"/>
      <c r="L14" s="759"/>
      <c r="M14" s="1380"/>
      <c r="N14" s="1381"/>
    </row>
    <row r="15" spans="1:14" s="109" customFormat="1" ht="20" hidden="1">
      <c r="A15" s="1620">
        <f>E17*0.222</f>
        <v>0</v>
      </c>
      <c r="B15" s="1621">
        <f>E17*0.177</f>
        <v>0</v>
      </c>
      <c r="C15" s="1621">
        <f>E17*0.111</f>
        <v>0</v>
      </c>
      <c r="D15" s="1613"/>
      <c r="E15" s="1622"/>
      <c r="F15" s="1623"/>
      <c r="G15" s="1624">
        <f>IF(G13&gt;0,A14,0)</f>
        <v>0</v>
      </c>
      <c r="H15" s="1625">
        <f t="shared" ref="H15:H16" si="2">IF(H13&gt;0,B14,0)</f>
        <v>0</v>
      </c>
      <c r="I15" s="1625">
        <f t="shared" ref="I15:I16" si="3">IF(I13&gt;0,C14,0)</f>
        <v>0</v>
      </c>
      <c r="J15" s="1618"/>
      <c r="K15" s="1619"/>
      <c r="L15" s="759"/>
      <c r="M15" s="1040"/>
      <c r="N15" s="1041"/>
    </row>
    <row r="16" spans="1:14" s="109" customFormat="1" ht="20" hidden="1">
      <c r="A16" s="1626"/>
      <c r="B16" s="1627"/>
      <c r="C16" s="1628"/>
      <c r="D16" s="1613"/>
      <c r="E16" s="1629"/>
      <c r="F16" s="1630"/>
      <c r="G16" s="1624">
        <f t="shared" ref="G16" si="4">IF(G14&gt;0,A15,0)</f>
        <v>0</v>
      </c>
      <c r="H16" s="1625">
        <f t="shared" si="2"/>
        <v>0</v>
      </c>
      <c r="I16" s="1625">
        <f t="shared" si="3"/>
        <v>0</v>
      </c>
      <c r="J16" s="1631"/>
      <c r="K16" s="1619"/>
      <c r="L16" s="759"/>
      <c r="M16" s="1040"/>
      <c r="N16" s="1041"/>
    </row>
    <row r="17" spans="1:14" ht="26" customHeight="1" thickTop="1">
      <c r="A17" s="1279">
        <v>2</v>
      </c>
      <c r="B17" s="395" t="s">
        <v>649</v>
      </c>
      <c r="C17" s="1204">
        <v>0</v>
      </c>
      <c r="D17" s="845">
        <v>1.1000000000000001</v>
      </c>
      <c r="E17" s="1639">
        <f>IF(C17=0,0,E11*D17)</f>
        <v>0</v>
      </c>
      <c r="F17" s="1641"/>
      <c r="G17" s="1195">
        <f>(G13*G15)+(G14*G16)</f>
        <v>0</v>
      </c>
      <c r="H17" s="1195">
        <f t="shared" ref="H17:I17" si="5">(H13*H15)+(H14*H16)</f>
        <v>0</v>
      </c>
      <c r="I17" s="1245">
        <f t="shared" si="5"/>
        <v>0</v>
      </c>
      <c r="J17" s="1244">
        <f>IF(E17=0,0,($N$11*A17))</f>
        <v>0</v>
      </c>
      <c r="K17" s="1596">
        <f>IF(C17=0,0,(E17+SUM(G17:I17))*(1+$E$39)+(J17*C17))</f>
        <v>0</v>
      </c>
      <c r="L17" s="759"/>
      <c r="M17" s="1040"/>
      <c r="N17" s="1041"/>
    </row>
    <row r="18" spans="1:14" ht="20" hidden="1">
      <c r="A18" s="2333"/>
      <c r="B18" s="2334"/>
      <c r="C18" s="2335"/>
      <c r="D18" s="1409"/>
      <c r="E18" s="1382"/>
      <c r="F18" s="1642"/>
      <c r="G18" s="1593">
        <f>IF(C22=0,0,IF(C22&lt;6,C22-1,4))</f>
        <v>0</v>
      </c>
      <c r="H18" s="1594">
        <f>IF(C22&lt;6,0,IF(AND(C22&gt;5,C22&lt;26),C22-5,25-5))</f>
        <v>0</v>
      </c>
      <c r="I18" s="1594">
        <f>IF(C22&lt;26,0,IF(AND(C22&gt;25,C22&lt;51),C22-25,50-25))</f>
        <v>0</v>
      </c>
      <c r="J18" s="1600"/>
      <c r="K18" s="1596"/>
      <c r="L18" s="759"/>
      <c r="M18" s="1040"/>
      <c r="N18" s="1041"/>
    </row>
    <row r="19" spans="1:14" ht="20" hidden="1">
      <c r="A19" s="1383">
        <f>E22*0.666</f>
        <v>0</v>
      </c>
      <c r="B19" s="1384">
        <f>E22*0.577</f>
        <v>0</v>
      </c>
      <c r="C19" s="1384">
        <f>E22*0.266</f>
        <v>0</v>
      </c>
      <c r="D19" s="1409"/>
      <c r="E19" s="1385"/>
      <c r="F19" s="1642"/>
      <c r="G19" s="1593">
        <f>IF(C22&lt;51,0,IF(AND(C22&gt;50,C22&lt;76),C22-50,75-50))</f>
        <v>0</v>
      </c>
      <c r="H19" s="1594">
        <f>IF(C22&lt;76,0,IF(AND(C22&gt;75,C22&lt;101),C22-75,100-75))</f>
        <v>0</v>
      </c>
      <c r="I19" s="1594">
        <f>IF(C22&gt;100,C22-100,0)</f>
        <v>0</v>
      </c>
      <c r="J19" s="1600"/>
      <c r="K19" s="1596"/>
      <c r="L19" s="759"/>
      <c r="M19" s="1040"/>
      <c r="N19" s="1041"/>
    </row>
    <row r="20" spans="1:14" s="109" customFormat="1" ht="20" hidden="1">
      <c r="A20" s="1386">
        <f>E22*0.222</f>
        <v>0</v>
      </c>
      <c r="B20" s="1384">
        <f>E22*0.177</f>
        <v>0</v>
      </c>
      <c r="C20" s="1384">
        <f>E22*0.111</f>
        <v>0</v>
      </c>
      <c r="D20" s="1409"/>
      <c r="E20" s="1385"/>
      <c r="F20" s="1642"/>
      <c r="G20" s="1597">
        <f>IF(G18&gt;0,A19,0)</f>
        <v>0</v>
      </c>
      <c r="H20" s="1598">
        <f t="shared" ref="H20:H21" si="6">IF(H18&gt;0,B19,0)</f>
        <v>0</v>
      </c>
      <c r="I20" s="1598">
        <f t="shared" ref="I20:I21" si="7">IF(I18&gt;0,C19,0)</f>
        <v>0</v>
      </c>
      <c r="J20" s="1595"/>
      <c r="K20" s="1596"/>
      <c r="L20" s="759"/>
      <c r="M20" s="1189"/>
      <c r="N20" s="1188"/>
    </row>
    <row r="21" spans="1:14" s="109" customFormat="1" ht="20" hidden="1">
      <c r="A21" s="1387"/>
      <c r="B21" s="1388"/>
      <c r="C21" s="1389"/>
      <c r="D21" s="1409"/>
      <c r="E21" s="1390"/>
      <c r="F21" s="1642"/>
      <c r="G21" s="1597">
        <f t="shared" ref="G21" si="8">IF(G19&gt;0,A20,0)</f>
        <v>0</v>
      </c>
      <c r="H21" s="1598">
        <f t="shared" si="6"/>
        <v>0</v>
      </c>
      <c r="I21" s="1598">
        <f t="shared" si="7"/>
        <v>0</v>
      </c>
      <c r="J21" s="1599"/>
      <c r="K21" s="1596"/>
      <c r="L21" s="759"/>
      <c r="M21" s="1189"/>
      <c r="N21" s="1188"/>
    </row>
    <row r="22" spans="1:14" ht="26" customHeight="1">
      <c r="A22" s="1279">
        <v>3</v>
      </c>
      <c r="B22" s="395" t="s">
        <v>105</v>
      </c>
      <c r="C22" s="1205">
        <v>0</v>
      </c>
      <c r="D22" s="845">
        <v>1.3</v>
      </c>
      <c r="E22" s="1639">
        <f>IF(C22=0,0,E11*D22)</f>
        <v>0</v>
      </c>
      <c r="F22" s="1643"/>
      <c r="G22" s="1195">
        <f>(G18*G20)+(G19*G21)</f>
        <v>0</v>
      </c>
      <c r="H22" s="1195">
        <f t="shared" ref="H22:I22" si="9">(H18*H20)+(H19*H21)</f>
        <v>0</v>
      </c>
      <c r="I22" s="1245">
        <f t="shared" si="9"/>
        <v>0</v>
      </c>
      <c r="J22" s="1244">
        <f>IF(E22=0,0,($N$11*A22))</f>
        <v>0</v>
      </c>
      <c r="K22" s="1596">
        <f>IF(C22=0,0,(E22+SUM(G22:I22)+(J22*C22)*(1+$E$39)))</f>
        <v>0</v>
      </c>
      <c r="L22" s="759"/>
      <c r="M22" s="2395">
        <f>'Temps passé'!E10</f>
        <v>1000</v>
      </c>
      <c r="N22" s="2389" t="s">
        <v>1040</v>
      </c>
    </row>
    <row r="23" spans="1:14" ht="20" hidden="1">
      <c r="A23" s="2333"/>
      <c r="B23" s="2334"/>
      <c r="C23" s="2335"/>
      <c r="D23" s="1409"/>
      <c r="E23" s="1382"/>
      <c r="F23" s="1642"/>
      <c r="G23" s="1593">
        <f>IF(C27=0,0,IF(C27&lt;6,C27-1,4))</f>
        <v>0</v>
      </c>
      <c r="H23" s="1594">
        <f>IF(C27&lt;6,0,IF(AND(C27&gt;5,C27&lt;26),C27-5,25-5))</f>
        <v>0</v>
      </c>
      <c r="I23" s="1594">
        <f>IF(C27&lt;26,0,IF(AND(C27&gt;25,C27&lt;51),C27-25,50-25))</f>
        <v>0</v>
      </c>
      <c r="J23" s="1600"/>
      <c r="K23" s="1596"/>
      <c r="L23" s="759"/>
      <c r="M23" s="2396"/>
      <c r="N23" s="2392"/>
    </row>
    <row r="24" spans="1:14" ht="20" hidden="1">
      <c r="A24" s="1383">
        <f>E27*0.666</f>
        <v>0</v>
      </c>
      <c r="B24" s="1384">
        <f>E27*0.577</f>
        <v>0</v>
      </c>
      <c r="C24" s="1384">
        <f>E27*0.266</f>
        <v>0</v>
      </c>
      <c r="D24" s="1409"/>
      <c r="E24" s="1385"/>
      <c r="F24" s="1642"/>
      <c r="G24" s="1593">
        <f>IF(C27&lt;51,0,IF(AND(C27&gt;50,C27&lt;76),C27-50,75-50))</f>
        <v>0</v>
      </c>
      <c r="H24" s="1594">
        <f>IF(C27&lt;76,0,IF(AND(C27&gt;75,C27&lt;101),C27-75,100-75))</f>
        <v>0</v>
      </c>
      <c r="I24" s="1594">
        <f>IF(C27&gt;100,C27-100,0)</f>
        <v>0</v>
      </c>
      <c r="J24" s="1600"/>
      <c r="K24" s="1596"/>
      <c r="L24" s="759"/>
      <c r="M24" s="2396"/>
      <c r="N24" s="2392"/>
    </row>
    <row r="25" spans="1:14" s="109" customFormat="1" ht="20" hidden="1">
      <c r="A25" s="1386">
        <f>E27*0.222</f>
        <v>0</v>
      </c>
      <c r="B25" s="1384">
        <f>E27*0.177</f>
        <v>0</v>
      </c>
      <c r="C25" s="1384">
        <f>E27*0.111</f>
        <v>0</v>
      </c>
      <c r="D25" s="1409"/>
      <c r="E25" s="1385"/>
      <c r="F25" s="1642"/>
      <c r="G25" s="1597">
        <f>IF(G23&gt;0,A24,0)</f>
        <v>0</v>
      </c>
      <c r="H25" s="1598">
        <f t="shared" ref="H25:H26" si="10">IF(H23&gt;0,B24,0)</f>
        <v>0</v>
      </c>
      <c r="I25" s="1598">
        <f t="shared" ref="I25:I26" si="11">IF(I23&gt;0,C24,0)</f>
        <v>0</v>
      </c>
      <c r="J25" s="1595"/>
      <c r="K25" s="1596"/>
      <c r="L25" s="759"/>
      <c r="M25" s="2396"/>
      <c r="N25" s="2392"/>
    </row>
    <row r="26" spans="1:14" s="109" customFormat="1" ht="20" hidden="1">
      <c r="A26" s="1387"/>
      <c r="B26" s="1388"/>
      <c r="C26" s="1389"/>
      <c r="D26" s="1409"/>
      <c r="E26" s="1390"/>
      <c r="F26" s="1642"/>
      <c r="G26" s="1597">
        <f t="shared" ref="G26" si="12">IF(G24&gt;0,A25,0)</f>
        <v>0</v>
      </c>
      <c r="H26" s="1598">
        <f t="shared" si="10"/>
        <v>0</v>
      </c>
      <c r="I26" s="1598">
        <f t="shared" si="11"/>
        <v>0</v>
      </c>
      <c r="J26" s="1599"/>
      <c r="K26" s="1596"/>
      <c r="L26" s="759"/>
      <c r="M26" s="2397"/>
      <c r="N26" s="2393"/>
    </row>
    <row r="27" spans="1:14" ht="26" customHeight="1">
      <c r="A27" s="1279">
        <v>4</v>
      </c>
      <c r="B27" s="395" t="s">
        <v>468</v>
      </c>
      <c r="C27" s="1204">
        <v>0</v>
      </c>
      <c r="D27" s="845">
        <v>1.5</v>
      </c>
      <c r="E27" s="1639">
        <f>IF(C27=0,0,E11*D27)</f>
        <v>0</v>
      </c>
      <c r="F27" s="1643"/>
      <c r="G27" s="1195">
        <f>(G23*G25)+(G24*G26)</f>
        <v>0</v>
      </c>
      <c r="H27" s="1195">
        <f t="shared" ref="H27:I27" si="13">(H23*H25)+(H24*H26)</f>
        <v>0</v>
      </c>
      <c r="I27" s="1245">
        <f t="shared" si="13"/>
        <v>0</v>
      </c>
      <c r="J27" s="1244">
        <f>IF(E27=0,0,($N$11*A27))</f>
        <v>0</v>
      </c>
      <c r="K27" s="1596">
        <f>IF(C27=0,0,(E27+SUM(G27:I27)+(J27*C27))*(1+$E$39))</f>
        <v>0</v>
      </c>
      <c r="L27" s="759"/>
      <c r="M27" s="2398"/>
      <c r="N27" s="2394"/>
    </row>
    <row r="28" spans="1:14" ht="20" hidden="1">
      <c r="A28" s="2333"/>
      <c r="B28" s="2334"/>
      <c r="C28" s="2335"/>
      <c r="D28" s="1410"/>
      <c r="E28" s="1382"/>
      <c r="F28" s="1642"/>
      <c r="G28" s="1593">
        <f>IF(C32=0,0,IF(C32&lt;6,C32-1,4))</f>
        <v>0</v>
      </c>
      <c r="H28" s="1594">
        <f>IF(C32&lt;6,0,IF(AND(C32&gt;5,C32&lt;26),C32-5,25-5))</f>
        <v>0</v>
      </c>
      <c r="I28" s="1594">
        <f>IF(C32&lt;26,0,IF(AND(C32&gt;25,C32&lt;51),C32-25,50-25))</f>
        <v>0</v>
      </c>
      <c r="J28" s="1600"/>
      <c r="K28" s="1596"/>
      <c r="L28" s="759"/>
      <c r="M28" s="1379"/>
      <c r="N28" s="1378"/>
    </row>
    <row r="29" spans="1:14" ht="20" hidden="1">
      <c r="A29" s="1383">
        <f>E32*0.666</f>
        <v>0</v>
      </c>
      <c r="B29" s="1384">
        <f>E32*0.577</f>
        <v>0</v>
      </c>
      <c r="C29" s="1384">
        <f>E32*0.266</f>
        <v>0</v>
      </c>
      <c r="D29" s="1410"/>
      <c r="E29" s="1385"/>
      <c r="F29" s="1642"/>
      <c r="G29" s="1593">
        <f>IF(C32&lt;51,0,IF(AND(C32&gt;50,C32&lt;76),C32-50,75-50))</f>
        <v>0</v>
      </c>
      <c r="H29" s="1594">
        <f>IF(C32&lt;76,0,IF(AND(C32&gt;75,C32&lt;101),C32-75,100-75))</f>
        <v>0</v>
      </c>
      <c r="I29" s="1594">
        <f>IF(C32&gt;100,C32-100,0)</f>
        <v>0</v>
      </c>
      <c r="J29" s="1600"/>
      <c r="K29" s="1596"/>
      <c r="L29" s="759"/>
      <c r="M29" s="1379"/>
      <c r="N29" s="1378"/>
    </row>
    <row r="30" spans="1:14" s="109" customFormat="1" ht="20" hidden="1">
      <c r="A30" s="1386">
        <f>E32*0.222</f>
        <v>0</v>
      </c>
      <c r="B30" s="1384">
        <f>E32*0.177</f>
        <v>0</v>
      </c>
      <c r="C30" s="1384">
        <f>E32*0.111</f>
        <v>0</v>
      </c>
      <c r="D30" s="1410"/>
      <c r="E30" s="1385"/>
      <c r="F30" s="1642"/>
      <c r="G30" s="1597">
        <f>IF(G28&gt;0,A29,0)</f>
        <v>0</v>
      </c>
      <c r="H30" s="1598">
        <f t="shared" ref="H30:H31" si="14">IF(H28&gt;0,B29,0)</f>
        <v>0</v>
      </c>
      <c r="I30" s="1598">
        <f t="shared" ref="I30:I31" si="15">IF(I28&gt;0,C29,0)</f>
        <v>0</v>
      </c>
      <c r="J30" s="1595"/>
      <c r="K30" s="1596"/>
      <c r="L30" s="759"/>
      <c r="M30" s="1192"/>
      <c r="N30" s="1193"/>
    </row>
    <row r="31" spans="1:14" s="109" customFormat="1" ht="20" hidden="1">
      <c r="A31" s="1387"/>
      <c r="B31" s="1388"/>
      <c r="C31" s="1389"/>
      <c r="D31" s="1410"/>
      <c r="E31" s="1390"/>
      <c r="F31" s="1642"/>
      <c r="G31" s="1597">
        <f t="shared" ref="G31" si="16">IF(G29&gt;0,A30,0)</f>
        <v>0</v>
      </c>
      <c r="H31" s="1598">
        <f t="shared" si="14"/>
        <v>0</v>
      </c>
      <c r="I31" s="1598">
        <f t="shared" si="15"/>
        <v>0</v>
      </c>
      <c r="J31" s="1599"/>
      <c r="K31" s="1596"/>
      <c r="L31" s="759"/>
      <c r="M31" s="1190"/>
      <c r="N31" s="1191"/>
    </row>
    <row r="32" spans="1:14" ht="26" customHeight="1" thickBot="1">
      <c r="A32" s="539">
        <v>5</v>
      </c>
      <c r="B32" s="396" t="str">
        <f>IF(A32&gt;10,"PAS PLUS DE 10","pdv de "&amp;A32&amp; " objets avec mise en lumière")</f>
        <v>pdv de 5 objets avec mise en lumière</v>
      </c>
      <c r="C32" s="1206">
        <v>0</v>
      </c>
      <c r="D32" s="846">
        <v>1.8</v>
      </c>
      <c r="E32" s="1640">
        <f>IF(C32=0,0,(IF(AND(A32&gt;4,A32&lt;11),((E11*D32/5)*A32),"NON")))</f>
        <v>0</v>
      </c>
      <c r="F32" s="1644"/>
      <c r="G32" s="1195">
        <f>(G28*G30)+(G29*G31)</f>
        <v>0</v>
      </c>
      <c r="H32" s="1195">
        <f t="shared" ref="H32:I32" si="17">(H28*H30)+(H29*H31)</f>
        <v>0</v>
      </c>
      <c r="I32" s="1245">
        <f t="shared" si="17"/>
        <v>0</v>
      </c>
      <c r="J32" s="1244">
        <f>IF(E32=0,0,($N$11*A32))</f>
        <v>0</v>
      </c>
      <c r="K32" s="1601">
        <f>IF(C32=0,0,(E32+SUM(G32:I32)+(J32*A32)*(1+$E$39)))</f>
        <v>0</v>
      </c>
      <c r="L32" s="759"/>
      <c r="M32" s="2399">
        <v>0.4</v>
      </c>
      <c r="N32" s="2389" t="s">
        <v>24</v>
      </c>
    </row>
    <row r="33" spans="1:14" s="161" customFormat="1" ht="21" thickTop="1">
      <c r="A33" s="1246" t="s">
        <v>191</v>
      </c>
      <c r="B33" s="840"/>
      <c r="C33" s="1530">
        <f>IF(C12&gt;0,C11*C12,C11)</f>
        <v>0</v>
      </c>
      <c r="D33" s="832"/>
      <c r="E33" s="842"/>
      <c r="F33" s="838"/>
      <c r="G33" s="1032"/>
      <c r="H33" s="1032"/>
      <c r="I33" s="1032"/>
      <c r="J33" s="1524">
        <f>J11*C11+J12*C11*C12+J17*C17+C22*J22+J27*C27+C32*J32</f>
        <v>0</v>
      </c>
      <c r="K33" s="2319"/>
      <c r="L33" s="760"/>
      <c r="M33" s="2400"/>
      <c r="N33" s="2390"/>
    </row>
    <row r="34" spans="1:14" s="109" customFormat="1" ht="21" thickBot="1">
      <c r="A34" s="1247"/>
      <c r="B34" s="843"/>
      <c r="C34" s="833"/>
      <c r="D34" s="833"/>
      <c r="E34" s="839"/>
      <c r="F34" s="839"/>
      <c r="G34" s="1134"/>
      <c r="H34" s="1134"/>
      <c r="I34" s="1134"/>
      <c r="J34" s="1525">
        <f>SUM(K11:K32)</f>
        <v>0</v>
      </c>
      <c r="K34" s="2320"/>
      <c r="L34" s="761"/>
      <c r="M34" s="2401"/>
      <c r="N34" s="2391"/>
    </row>
    <row r="35" spans="1:14" ht="35" customHeight="1">
      <c r="A35" s="2305" t="s">
        <v>1104</v>
      </c>
      <c r="B35" s="2308" t="s">
        <v>1195</v>
      </c>
      <c r="C35" s="2309"/>
      <c r="D35" s="2309"/>
      <c r="E35" s="2309"/>
      <c r="F35" s="2309"/>
      <c r="G35" s="2310"/>
      <c r="H35" s="830"/>
      <c r="I35" s="274" t="s">
        <v>254</v>
      </c>
      <c r="J35" s="1436">
        <f>IF(J36&gt;100,J34*(1-RemProd)*(1-K38),J34)*(1-RemProd)</f>
        <v>0</v>
      </c>
      <c r="K35" s="1251"/>
      <c r="L35" s="757"/>
      <c r="M35" s="2385" t="s">
        <v>1108</v>
      </c>
      <c r="N35" s="2402"/>
    </row>
    <row r="36" spans="1:14" ht="35" customHeight="1">
      <c r="A36" s="2306"/>
      <c r="B36" s="2311"/>
      <c r="C36" s="2311"/>
      <c r="D36" s="2311"/>
      <c r="E36" s="2311"/>
      <c r="F36" s="2311"/>
      <c r="G36" s="2312"/>
      <c r="H36" s="830"/>
      <c r="I36" s="275" t="s">
        <v>376</v>
      </c>
      <c r="J36" s="1280">
        <f>C33+C17+C22+C27+C32</f>
        <v>0</v>
      </c>
      <c r="K36" s="1252" t="s">
        <v>1095</v>
      </c>
      <c r="L36" s="757"/>
      <c r="M36" s="2403"/>
      <c r="N36" s="2404"/>
    </row>
    <row r="37" spans="1:14" ht="35" customHeight="1" thickBot="1">
      <c r="A37" s="2306"/>
      <c r="B37" s="2313"/>
      <c r="C37" s="2313"/>
      <c r="D37" s="2313"/>
      <c r="E37" s="2313"/>
      <c r="F37" s="2313"/>
      <c r="G37" s="2314"/>
      <c r="H37" s="834"/>
      <c r="I37" s="276" t="s">
        <v>742</v>
      </c>
      <c r="J37" s="1647" t="e">
        <f>ROUND(J35/J36,2)</f>
        <v>#DIV/0!</v>
      </c>
      <c r="K37" s="1253">
        <v>0</v>
      </c>
      <c r="L37" s="757"/>
      <c r="M37" s="2405"/>
      <c r="N37" s="2406"/>
    </row>
    <row r="38" spans="1:14" ht="25" customHeight="1">
      <c r="A38" s="2306"/>
      <c r="B38" s="844"/>
      <c r="C38" s="844"/>
      <c r="D38" s="844"/>
      <c r="E38" s="844"/>
      <c r="F38" s="844"/>
      <c r="G38" s="844"/>
      <c r="H38" s="834"/>
      <c r="I38" s="1413" t="s">
        <v>80</v>
      </c>
      <c r="J38" s="1646"/>
      <c r="K38" s="1414">
        <v>0</v>
      </c>
      <c r="L38" s="762"/>
      <c r="M38" s="1546">
        <f>IF(J36=0,0,J33/J36*(1-RemProd))</f>
        <v>0</v>
      </c>
      <c r="N38" s="1037"/>
    </row>
    <row r="39" spans="1:14" ht="26" customHeight="1">
      <c r="A39" s="2306"/>
      <c r="B39" s="2315" t="s">
        <v>918</v>
      </c>
      <c r="C39" s="2315"/>
      <c r="D39" s="2316"/>
      <c r="E39" s="1042">
        <v>0</v>
      </c>
      <c r="F39" s="2339" t="s">
        <v>653</v>
      </c>
      <c r="G39" s="2340"/>
      <c r="H39" s="830"/>
      <c r="I39" s="2296" t="s">
        <v>993</v>
      </c>
      <c r="J39" s="2297"/>
      <c r="K39" s="2298"/>
      <c r="L39" s="2384"/>
      <c r="M39" s="1546">
        <f>IF(J36=0,0,Prix_moyen___pdv-M38)</f>
        <v>0</v>
      </c>
      <c r="N39" s="1037"/>
    </row>
    <row r="40" spans="1:14" ht="22" customHeight="1">
      <c r="A40" s="2306"/>
      <c r="B40" s="2317" t="s">
        <v>716</v>
      </c>
      <c r="C40" s="2317"/>
      <c r="D40" s="2317"/>
      <c r="E40" s="2318"/>
      <c r="F40" s="2341"/>
      <c r="G40" s="2342"/>
      <c r="H40" s="830"/>
      <c r="I40" s="2299"/>
      <c r="J40" s="2300"/>
      <c r="K40" s="2301"/>
      <c r="L40" s="2384"/>
      <c r="M40" s="1437"/>
      <c r="N40" s="1037"/>
    </row>
    <row r="41" spans="1:14" ht="35" customHeight="1" thickBot="1">
      <c r="A41" s="2307"/>
      <c r="B41" s="1248"/>
      <c r="C41" s="1248"/>
      <c r="D41" s="1248"/>
      <c r="E41" s="1248"/>
      <c r="F41" s="1248"/>
      <c r="G41" s="1248"/>
      <c r="H41" s="1249"/>
      <c r="I41" s="2302"/>
      <c r="J41" s="2303"/>
      <c r="K41" s="2304"/>
      <c r="L41" s="2384"/>
      <c r="M41" s="1038"/>
      <c r="N41" s="1039"/>
    </row>
    <row r="42" spans="1:14" ht="20">
      <c r="A42" s="273"/>
      <c r="B42" s="273"/>
      <c r="C42" s="273"/>
      <c r="D42" s="273"/>
      <c r="E42" s="273"/>
      <c r="F42" s="273"/>
      <c r="G42" s="273"/>
      <c r="H42" s="273"/>
      <c r="I42" s="273"/>
      <c r="J42" s="273"/>
      <c r="K42" s="273"/>
      <c r="L42" s="757"/>
    </row>
    <row r="43" spans="1:14" ht="21" thickBot="1">
      <c r="A43" s="273"/>
      <c r="B43" s="273"/>
      <c r="C43" s="273"/>
      <c r="D43" s="273"/>
      <c r="E43" s="273"/>
      <c r="F43" s="273"/>
      <c r="G43" s="273"/>
      <c r="H43" s="273"/>
      <c r="I43" s="273"/>
      <c r="J43" s="273"/>
      <c r="K43" s="273"/>
      <c r="L43" s="757"/>
    </row>
    <row r="44" spans="1:14" ht="36" customHeight="1" thickBot="1">
      <c r="A44" s="2293" t="s">
        <v>1210</v>
      </c>
      <c r="B44" s="2294"/>
      <c r="C44" s="2294"/>
      <c r="D44" s="2294"/>
      <c r="E44" s="2294"/>
      <c r="F44" s="2294"/>
      <c r="G44" s="2294"/>
      <c r="H44" s="2294"/>
      <c r="I44" s="2294"/>
      <c r="J44" s="2294"/>
      <c r="K44" s="2295"/>
      <c r="L44" s="757"/>
      <c r="M44" s="2385"/>
      <c r="N44" s="2386"/>
    </row>
    <row r="45" spans="1:14" ht="75" customHeight="1" thickBot="1">
      <c r="A45" s="2350" t="s">
        <v>44</v>
      </c>
      <c r="B45" s="2351"/>
      <c r="C45" s="2351"/>
      <c r="D45" s="2351"/>
      <c r="E45" s="2351"/>
      <c r="F45" s="2351"/>
      <c r="G45" s="2351"/>
      <c r="H45" s="2351"/>
      <c r="I45" s="2351"/>
      <c r="J45" s="2351"/>
      <c r="K45" s="2352"/>
      <c r="L45" s="757"/>
      <c r="M45" s="2387"/>
      <c r="N45" s="2388"/>
    </row>
    <row r="46" spans="1:14" ht="60" customHeight="1" thickTop="1" thickBot="1">
      <c r="A46" s="2359" t="str">
        <f>IF(C46=0,"Indiquer au moins une photo qui sera livrée","Nombre de photos livrées par personne")</f>
        <v>Nombre de photos livrées par personne</v>
      </c>
      <c r="B46" s="2360"/>
      <c r="C46" s="666">
        <v>1</v>
      </c>
      <c r="D46" s="1131"/>
      <c r="E46" s="2355" t="s">
        <v>924</v>
      </c>
      <c r="F46" s="2356"/>
      <c r="G46" s="217">
        <v>0</v>
      </c>
      <c r="H46" s="1651" t="str">
        <f>IF(AND(C46=1,G46&gt;0),"&lt;= Supprimer le temps additionnel",IF(C46&gt;1,"Indiquer le temps additionnel",""))</f>
        <v/>
      </c>
      <c r="I46" s="754" t="s">
        <v>1154</v>
      </c>
      <c r="J46" s="1282">
        <f>A50+((C46-1)*G46)</f>
        <v>0</v>
      </c>
      <c r="K46" s="837" t="s">
        <v>120</v>
      </c>
      <c r="L46" s="757"/>
      <c r="M46" s="2381" t="s">
        <v>982</v>
      </c>
      <c r="N46" s="1144" t="s">
        <v>1040</v>
      </c>
    </row>
    <row r="47" spans="1:14" ht="27" customHeight="1" thickBot="1">
      <c r="A47" s="835"/>
      <c r="B47" s="1648" t="s">
        <v>1130</v>
      </c>
      <c r="C47" s="1650">
        <f>(E50/60*J46)</f>
        <v>0</v>
      </c>
      <c r="D47" s="830"/>
      <c r="E47" s="830"/>
      <c r="F47" s="830"/>
      <c r="G47" s="830"/>
      <c r="H47" s="1649"/>
      <c r="I47" s="830"/>
      <c r="J47" s="830"/>
      <c r="K47" s="836"/>
      <c r="L47" s="757"/>
      <c r="M47" s="2382"/>
      <c r="N47" s="1285">
        <f>M22</f>
        <v>1000</v>
      </c>
    </row>
    <row r="48" spans="1:14" ht="64" customHeight="1" thickTop="1" thickBot="1">
      <c r="A48" s="2353" t="s">
        <v>981</v>
      </c>
      <c r="B48" s="2367" t="s">
        <v>347</v>
      </c>
      <c r="C48" s="2361" t="s">
        <v>153</v>
      </c>
      <c r="D48" s="831"/>
      <c r="E48" s="2374" t="s">
        <v>1237</v>
      </c>
      <c r="F48" s="2375"/>
      <c r="G48" s="1132" t="s">
        <v>922</v>
      </c>
      <c r="H48" s="931" t="s">
        <v>570</v>
      </c>
      <c r="I48" s="931" t="s">
        <v>267</v>
      </c>
      <c r="J48" s="2357" t="s">
        <v>1240</v>
      </c>
      <c r="K48" s="272" t="s">
        <v>706</v>
      </c>
      <c r="L48" s="757"/>
      <c r="M48" s="2383"/>
      <c r="N48" s="1145">
        <v>0.4</v>
      </c>
    </row>
    <row r="49" spans="1:14" ht="35" customHeight="1">
      <c r="A49" s="2354"/>
      <c r="B49" s="2368"/>
      <c r="C49" s="2362"/>
      <c r="D49" s="831"/>
      <c r="E49" s="2374"/>
      <c r="F49" s="2375"/>
      <c r="G49" s="1652">
        <f>IF(AND(1&lt;C50,C50&lt;6),C50-1,0)</f>
        <v>0</v>
      </c>
      <c r="H49" s="1653">
        <f>IF(AND(5&lt;C50,C50&lt;11),C50-1,0)</f>
        <v>0</v>
      </c>
      <c r="I49" s="1653">
        <f>IF(C50&gt;10,C50-1,0)</f>
        <v>0</v>
      </c>
      <c r="J49" s="2358"/>
      <c r="K49" s="1283" t="str">
        <f>"Pour "&amp;C50&amp;" pers. et "&amp;J46&amp;" mn / pers."</f>
        <v>Pour 0 pers. et 0 mn / pers.</v>
      </c>
      <c r="L49" s="757"/>
      <c r="M49" s="1146">
        <v>0</v>
      </c>
      <c r="N49" s="2372" t="s">
        <v>94</v>
      </c>
    </row>
    <row r="50" spans="1:14" ht="51" customHeight="1" thickBot="1">
      <c r="A50" s="942">
        <v>0</v>
      </c>
      <c r="B50" s="2369"/>
      <c r="C50" s="941">
        <v>0</v>
      </c>
      <c r="D50" s="1133"/>
      <c r="E50" s="2376">
        <v>180</v>
      </c>
      <c r="F50" s="2377"/>
      <c r="G50" s="1134">
        <f>IF(AND(1&lt;C50,C50&lt;6),(C47*G51),0)</f>
        <v>0</v>
      </c>
      <c r="H50" s="1134">
        <f>IF(AND(5&lt;C50,C50&lt;11),(C47*H51),0)</f>
        <v>0</v>
      </c>
      <c r="I50" s="1134">
        <f>IF(10&lt;C50,(C47*I51),0)</f>
        <v>0</v>
      </c>
      <c r="J50" s="1286">
        <f>M50*C50*C46</f>
        <v>0</v>
      </c>
      <c r="K50" s="1415">
        <f>IF(C50=0,0,IF(C50=1,E50+J50,(((E50+(SUM(G50:I50))*SUM(G49:I49)))+J50)))</f>
        <v>0</v>
      </c>
      <c r="L50" s="757"/>
      <c r="M50" s="1284">
        <f>ROUND(((N47*N48)/'Temps passé'!J23)/60*'Portraits corpo &amp; catal objets'!M49,0)</f>
        <v>0</v>
      </c>
      <c r="N50" s="2373"/>
    </row>
    <row r="51" spans="1:14" ht="24" customHeight="1" thickTop="1">
      <c r="A51" s="2343"/>
      <c r="B51" s="2348" t="str">
        <f>IF(A50*C50&gt;240,"Pour info en nombre de 1/2 journées","Pour info en nombre d'heures")</f>
        <v>Pour info en nombre d'heures</v>
      </c>
      <c r="C51" s="2349"/>
      <c r="D51" s="832"/>
      <c r="E51" s="2363"/>
      <c r="F51" s="2364"/>
      <c r="G51" s="1534">
        <v>0.9</v>
      </c>
      <c r="H51" s="1534">
        <v>0.8</v>
      </c>
      <c r="I51" s="1535">
        <v>0.7</v>
      </c>
      <c r="J51" s="841"/>
      <c r="K51" s="1547" t="s">
        <v>1231</v>
      </c>
      <c r="L51" s="757"/>
      <c r="M51" s="1143"/>
      <c r="N51" s="1037"/>
    </row>
    <row r="52" spans="1:14" ht="31" customHeight="1" thickBot="1">
      <c r="A52" s="2344"/>
      <c r="B52" s="2346" t="str">
        <f>IF(J46*C50&lt;60," une heure env.",IF((J46*C50)&lt;240,ROUND(((J46*C50)/60),0)&amp;" heure[s] env.",IF((J46*C50)&gt;240,ROUND(((J46*C50)/240),0)&amp;"  demi journée[s] env.")))</f>
        <v xml:space="preserve"> une heure env.</v>
      </c>
      <c r="C52" s="2347"/>
      <c r="D52" s="833"/>
      <c r="E52" s="2365"/>
      <c r="F52" s="2366"/>
      <c r="G52" s="2370" t="s">
        <v>1166</v>
      </c>
      <c r="H52" s="2371"/>
      <c r="I52" s="2371"/>
      <c r="J52" s="1134"/>
      <c r="K52" s="1135"/>
      <c r="L52" s="757"/>
      <c r="M52" s="1540"/>
      <c r="N52" s="1543"/>
    </row>
    <row r="53" spans="1:14" ht="40" customHeight="1" thickBot="1">
      <c r="A53" s="2345"/>
      <c r="B53" s="834"/>
      <c r="C53" s="834"/>
      <c r="D53" s="834"/>
      <c r="E53" s="840"/>
      <c r="F53" s="840"/>
      <c r="G53" s="1533"/>
      <c r="H53" s="1533"/>
      <c r="I53" s="274" t="s">
        <v>643</v>
      </c>
      <c r="J53" s="1136">
        <f>SUM(K50:K50)*(1-RemPort)</f>
        <v>0</v>
      </c>
      <c r="K53" s="1137" t="s">
        <v>1232</v>
      </c>
      <c r="L53" s="757"/>
      <c r="M53" s="1438">
        <f>J50*(1-RemPort)</f>
        <v>0</v>
      </c>
      <c r="N53" s="1545" t="s">
        <v>1148</v>
      </c>
    </row>
    <row r="54" spans="1:14" ht="49" customHeight="1">
      <c r="A54" s="2336" t="s">
        <v>15</v>
      </c>
      <c r="B54" s="2337"/>
      <c r="C54" s="2337"/>
      <c r="D54" s="2337"/>
      <c r="E54" s="2337"/>
      <c r="F54" s="2337"/>
      <c r="G54" s="2337"/>
      <c r="H54" s="2338"/>
      <c r="I54" s="275" t="s">
        <v>265</v>
      </c>
      <c r="J54" s="1280">
        <f>SUM(C50:C50)*C46</f>
        <v>0</v>
      </c>
      <c r="K54" s="1045" t="s">
        <v>37</v>
      </c>
      <c r="L54" s="757"/>
      <c r="M54" s="1541"/>
      <c r="N54" s="1543"/>
    </row>
    <row r="55" spans="1:14" ht="53" customHeight="1" thickBot="1">
      <c r="A55" s="2336" t="s">
        <v>8</v>
      </c>
      <c r="B55" s="2337"/>
      <c r="C55" s="2337"/>
      <c r="D55" s="2337"/>
      <c r="E55" s="2337"/>
      <c r="F55" s="2337"/>
      <c r="G55" s="2337"/>
      <c r="H55" s="2338"/>
      <c r="I55" s="533" t="s">
        <v>485</v>
      </c>
      <c r="J55" s="1831" t="e">
        <f>J53/J54</f>
        <v>#DIV/0!</v>
      </c>
      <c r="K55" s="1036">
        <v>0</v>
      </c>
      <c r="L55" s="757"/>
      <c r="M55" s="1542"/>
      <c r="N55" s="1544"/>
    </row>
    <row r="56" spans="1:14">
      <c r="I56" s="1031" t="s">
        <v>1202</v>
      </c>
      <c r="J56" s="1829" t="e">
        <f>PrixPort-J57</f>
        <v>#DIV/0!</v>
      </c>
      <c r="L56" s="757"/>
    </row>
    <row r="57" spans="1:14">
      <c r="A57" s="1645"/>
      <c r="B57" s="1645"/>
      <c r="C57" s="1645"/>
      <c r="D57" s="1645"/>
      <c r="E57" s="1645"/>
      <c r="F57" s="1645"/>
      <c r="G57" s="1645"/>
      <c r="H57" s="1645"/>
      <c r="I57" s="1031" t="s">
        <v>1201</v>
      </c>
      <c r="J57" s="1830" t="e">
        <f>IF(RemPort&gt;0,J50*(1-RemPort)/J54,J50/J54)</f>
        <v>#DIV/0!</v>
      </c>
      <c r="K57" s="1645"/>
      <c r="L57" s="1645"/>
      <c r="M57" s="1645"/>
      <c r="N57" s="1645"/>
    </row>
    <row r="58" spans="1:14">
      <c r="A58" s="1645"/>
      <c r="B58" s="1645"/>
      <c r="C58" s="1645"/>
      <c r="D58" s="1645"/>
      <c r="E58" s="1645"/>
      <c r="F58" s="1645"/>
      <c r="G58" s="1645"/>
      <c r="H58" s="1645"/>
      <c r="I58" s="1645"/>
      <c r="J58" s="1645"/>
      <c r="K58" s="1645"/>
      <c r="L58" s="1645"/>
      <c r="M58" s="1645"/>
      <c r="N58" s="1645"/>
    </row>
    <row r="59" spans="1:14">
      <c r="A59" s="1645"/>
      <c r="B59" s="1645"/>
      <c r="C59" s="1645"/>
      <c r="D59" s="1645"/>
      <c r="E59" s="1645"/>
      <c r="F59" s="1645"/>
      <c r="G59" s="1645"/>
      <c r="H59" s="1645"/>
      <c r="I59" s="1645"/>
      <c r="J59" s="1645"/>
      <c r="K59" s="1645"/>
      <c r="L59" s="1645"/>
      <c r="M59" s="1645"/>
      <c r="N59" s="1645"/>
    </row>
    <row r="60" spans="1:14">
      <c r="A60" s="1645"/>
      <c r="B60" s="1645"/>
      <c r="C60" s="1645"/>
      <c r="D60" s="1645"/>
      <c r="E60" s="1645"/>
      <c r="F60" s="1645"/>
      <c r="G60" s="1645"/>
      <c r="H60" s="1645"/>
      <c r="I60" s="1645"/>
      <c r="J60" s="1645"/>
      <c r="K60" s="1645"/>
      <c r="L60" s="1645"/>
      <c r="M60" s="1645"/>
      <c r="N60" s="1645"/>
    </row>
    <row r="61" spans="1:14">
      <c r="A61" s="1645"/>
      <c r="B61" s="1645"/>
      <c r="C61" s="1645"/>
      <c r="D61" s="1645"/>
      <c r="E61" s="1645"/>
      <c r="F61" s="1645"/>
      <c r="G61" s="1645"/>
      <c r="H61" s="1645"/>
      <c r="I61" s="1645"/>
      <c r="J61" s="1645"/>
      <c r="K61" s="1645"/>
      <c r="L61" s="1645"/>
      <c r="M61" s="1645"/>
      <c r="N61" s="1645"/>
    </row>
    <row r="62" spans="1:14">
      <c r="A62" s="1645"/>
      <c r="B62" s="1645"/>
      <c r="C62" s="1645"/>
      <c r="D62" s="1645"/>
      <c r="E62" s="1645"/>
      <c r="F62" s="1645"/>
      <c r="G62" s="1645"/>
      <c r="H62" s="1645"/>
      <c r="I62" s="1645"/>
      <c r="J62" s="1645"/>
      <c r="K62" s="1645"/>
      <c r="L62" s="1645"/>
      <c r="M62" s="1645"/>
      <c r="N62" s="1645"/>
    </row>
    <row r="63" spans="1:14">
      <c r="A63" s="1645"/>
      <c r="B63" s="1645"/>
      <c r="C63" s="1645"/>
      <c r="D63" s="1645"/>
      <c r="E63" s="1645"/>
      <c r="F63" s="1645"/>
      <c r="G63" s="1645"/>
      <c r="H63" s="1645"/>
      <c r="I63" s="1645"/>
      <c r="J63" s="1645"/>
      <c r="K63" s="1645"/>
      <c r="L63" s="1645"/>
      <c r="M63" s="1645"/>
      <c r="N63" s="1645"/>
    </row>
    <row r="64" spans="1:14">
      <c r="A64" s="1645"/>
      <c r="B64" s="1645"/>
      <c r="C64" s="1645"/>
      <c r="D64" s="1645"/>
      <c r="E64" s="1645"/>
      <c r="F64" s="1645"/>
      <c r="G64" s="1645"/>
      <c r="H64" s="1645"/>
      <c r="I64" s="1645"/>
      <c r="J64" s="1645"/>
      <c r="K64" s="1645"/>
      <c r="L64" s="1645"/>
      <c r="M64" s="1645"/>
      <c r="N64" s="1645"/>
    </row>
    <row r="65" spans="1:14">
      <c r="A65" s="1645"/>
      <c r="B65" s="1645"/>
      <c r="C65" s="1645"/>
      <c r="D65" s="1645"/>
      <c r="E65" s="1645"/>
      <c r="F65" s="1645"/>
      <c r="G65" s="1645"/>
      <c r="H65" s="1645"/>
      <c r="I65" s="1645"/>
      <c r="J65" s="1645"/>
      <c r="K65" s="1645"/>
      <c r="L65" s="1645"/>
      <c r="M65" s="1645"/>
      <c r="N65" s="1645"/>
    </row>
    <row r="66" spans="1:14">
      <c r="A66" s="1645"/>
      <c r="B66" s="1645"/>
      <c r="C66" s="1645"/>
      <c r="D66" s="1645"/>
      <c r="E66" s="1645"/>
      <c r="F66" s="1645"/>
      <c r="G66" s="1645"/>
      <c r="H66" s="1645"/>
      <c r="I66" s="1645"/>
      <c r="J66" s="1645"/>
      <c r="K66" s="1645"/>
      <c r="L66" s="1645"/>
      <c r="M66" s="1645"/>
      <c r="N66" s="1645"/>
    </row>
    <row r="67" spans="1:14">
      <c r="A67" s="1645"/>
      <c r="B67" s="1645"/>
      <c r="C67" s="1645"/>
      <c r="D67" s="1645"/>
      <c r="E67" s="1645"/>
      <c r="F67" s="1645"/>
      <c r="G67" s="1645"/>
      <c r="H67" s="1645"/>
      <c r="I67" s="1645"/>
      <c r="J67" s="1645"/>
      <c r="K67" s="1645"/>
      <c r="L67" s="1645"/>
      <c r="M67" s="1645"/>
      <c r="N67" s="1645"/>
    </row>
    <row r="68" spans="1:14">
      <c r="A68" s="1645"/>
      <c r="B68" s="1645"/>
      <c r="C68" s="1645"/>
      <c r="D68" s="1645"/>
      <c r="E68" s="1645"/>
      <c r="F68" s="1645"/>
      <c r="G68" s="1645"/>
      <c r="H68" s="1645"/>
      <c r="I68" s="1645"/>
      <c r="J68" s="1645"/>
      <c r="K68" s="1645"/>
      <c r="L68" s="1645"/>
      <c r="M68" s="1645"/>
      <c r="N68" s="1645"/>
    </row>
    <row r="69" spans="1:14">
      <c r="A69" s="1645"/>
      <c r="B69" s="1645"/>
      <c r="C69" s="1645"/>
      <c r="D69" s="1645"/>
      <c r="E69" s="1645"/>
      <c r="F69" s="1645"/>
      <c r="G69" s="1645"/>
      <c r="H69" s="1645"/>
      <c r="I69" s="1645"/>
      <c r="J69" s="1645"/>
      <c r="K69" s="1645"/>
      <c r="L69" s="1645"/>
      <c r="M69" s="1645"/>
      <c r="N69" s="1645"/>
    </row>
    <row r="70" spans="1:14">
      <c r="A70" s="1645"/>
      <c r="B70" s="1645"/>
      <c r="C70" s="1645"/>
      <c r="D70" s="1645"/>
      <c r="E70" s="1645"/>
      <c r="F70" s="1645"/>
      <c r="G70" s="1645"/>
      <c r="H70" s="1645"/>
      <c r="I70" s="1645"/>
      <c r="J70" s="1645"/>
      <c r="K70" s="1645"/>
      <c r="L70" s="1645"/>
      <c r="M70" s="1645"/>
      <c r="N70" s="1645"/>
    </row>
    <row r="71" spans="1:14">
      <c r="A71" s="1645"/>
      <c r="B71" s="1645"/>
      <c r="C71" s="1645"/>
      <c r="D71" s="1645"/>
      <c r="E71" s="1645"/>
      <c r="F71" s="1645"/>
      <c r="G71" s="1645"/>
      <c r="H71" s="1645"/>
      <c r="I71" s="1645"/>
      <c r="J71" s="1645"/>
      <c r="K71" s="1645"/>
      <c r="L71" s="1645"/>
      <c r="M71" s="1645"/>
      <c r="N71" s="1645"/>
    </row>
    <row r="72" spans="1:14">
      <c r="A72" s="1645"/>
      <c r="B72" s="1645"/>
      <c r="C72" s="1645"/>
      <c r="D72" s="1645"/>
      <c r="E72" s="1645"/>
      <c r="F72" s="1645"/>
      <c r="G72" s="1645"/>
      <c r="H72" s="1645"/>
      <c r="I72" s="1645"/>
      <c r="J72" s="1645"/>
      <c r="K72" s="1645"/>
      <c r="L72" s="1645"/>
      <c r="M72" s="1645"/>
      <c r="N72" s="1645"/>
    </row>
    <row r="73" spans="1:14">
      <c r="A73" s="1645"/>
      <c r="B73" s="1645"/>
      <c r="C73" s="1645"/>
      <c r="D73" s="1645"/>
      <c r="E73" s="1645"/>
      <c r="F73" s="1645"/>
      <c r="G73" s="1645"/>
      <c r="H73" s="1645"/>
      <c r="I73" s="1645"/>
      <c r="J73" s="1645"/>
      <c r="K73" s="1645"/>
      <c r="L73" s="1645"/>
      <c r="M73" s="1645"/>
      <c r="N73" s="1645"/>
    </row>
    <row r="74" spans="1:14">
      <c r="A74" s="1645"/>
      <c r="B74" s="1645"/>
      <c r="C74" s="1645"/>
      <c r="D74" s="1645"/>
      <c r="E74" s="1645"/>
      <c r="F74" s="1645"/>
      <c r="G74" s="1645"/>
      <c r="H74" s="1645"/>
      <c r="I74" s="1645"/>
      <c r="J74" s="1645"/>
      <c r="K74" s="1645"/>
      <c r="L74" s="1645"/>
      <c r="M74" s="1645"/>
      <c r="N74" s="1645"/>
    </row>
    <row r="75" spans="1:14">
      <c r="A75" s="1645"/>
      <c r="B75" s="1645"/>
      <c r="C75" s="1645"/>
      <c r="D75" s="1645"/>
      <c r="E75" s="1645"/>
      <c r="F75" s="1645"/>
      <c r="G75" s="1645"/>
      <c r="H75" s="1645"/>
      <c r="I75" s="1645"/>
      <c r="J75" s="1645"/>
      <c r="K75" s="1645"/>
      <c r="L75" s="1645"/>
      <c r="M75" s="1645"/>
      <c r="N75" s="1645"/>
    </row>
  </sheetData>
  <mergeCells count="45">
    <mergeCell ref="N49:N50"/>
    <mergeCell ref="E48:F49"/>
    <mergeCell ref="E50:F50"/>
    <mergeCell ref="M3:M6"/>
    <mergeCell ref="M46:M48"/>
    <mergeCell ref="L39:L41"/>
    <mergeCell ref="M44:N45"/>
    <mergeCell ref="N32:N34"/>
    <mergeCell ref="N22:N27"/>
    <mergeCell ref="M22:M27"/>
    <mergeCell ref="M32:M34"/>
    <mergeCell ref="M35:N37"/>
    <mergeCell ref="M12:N12"/>
    <mergeCell ref="J4:K5"/>
    <mergeCell ref="E4:E5"/>
    <mergeCell ref="A55:H55"/>
    <mergeCell ref="A44:K44"/>
    <mergeCell ref="A54:H54"/>
    <mergeCell ref="F39:G40"/>
    <mergeCell ref="A51:A53"/>
    <mergeCell ref="B52:C52"/>
    <mergeCell ref="B51:C51"/>
    <mergeCell ref="A45:K45"/>
    <mergeCell ref="A48:A49"/>
    <mergeCell ref="E46:F46"/>
    <mergeCell ref="J48:J49"/>
    <mergeCell ref="A46:B46"/>
    <mergeCell ref="C48:C49"/>
    <mergeCell ref="E51:F52"/>
    <mergeCell ref="B48:B50"/>
    <mergeCell ref="G52:I52"/>
    <mergeCell ref="A1:K1"/>
    <mergeCell ref="A3:K3"/>
    <mergeCell ref="I39:K41"/>
    <mergeCell ref="A35:A41"/>
    <mergeCell ref="B35:G37"/>
    <mergeCell ref="B39:D39"/>
    <mergeCell ref="B40:E40"/>
    <mergeCell ref="K33:K34"/>
    <mergeCell ref="A7:C7"/>
    <mergeCell ref="A4:C5"/>
    <mergeCell ref="A13:C13"/>
    <mergeCell ref="A18:C18"/>
    <mergeCell ref="A23:C23"/>
    <mergeCell ref="A28:C28"/>
  </mergeCells>
  <phoneticPr fontId="50" type="noConversion"/>
  <conditionalFormatting sqref="K51">
    <cfRule type="cellIs" dxfId="75" priority="0" stopIfTrue="1" operator="greaterThan">
      <formula>0</formula>
    </cfRule>
  </conditionalFormatting>
  <conditionalFormatting sqref="G30:I31 A50 C50 C32 C11 G9:I10 G25:I26 C27 E27 E32 J17:J32 C17 E17 G20:I21 E22 C22 J11:J12">
    <cfRule type="cellIs" dxfId="74" priority="1" stopIfTrue="1" operator="greaterThan">
      <formula>0</formula>
    </cfRule>
  </conditionalFormatting>
  <conditionalFormatting sqref="B32:B33">
    <cfRule type="cellIs" dxfId="73" priority="2" stopIfTrue="1" operator="equal">
      <formula>"PAS PLUS DE 10"</formula>
    </cfRule>
  </conditionalFormatting>
  <conditionalFormatting sqref="K32 K17 K22 K27">
    <cfRule type="cellIs" dxfId="72" priority="4" stopIfTrue="1" operator="equal">
      <formula>0</formula>
    </cfRule>
    <cfRule type="cellIs" dxfId="71" priority="4" stopIfTrue="1" operator="greaterThan">
      <formula>0</formula>
    </cfRule>
  </conditionalFormatting>
  <conditionalFormatting sqref="G50:I50 G11:I12 G17:I17 G27:I27 G22:I22 G32:I32 K50">
    <cfRule type="cellIs" dxfId="70" priority="5" stopIfTrue="1" operator="greaterThan">
      <formula>0</formula>
    </cfRule>
    <cfRule type="cellIs" dxfId="69" priority="5" stopIfTrue="1" operator="equal">
      <formula>0</formula>
    </cfRule>
  </conditionalFormatting>
  <conditionalFormatting sqref="K37 K55">
    <cfRule type="cellIs" dxfId="68" priority="7" stopIfTrue="1" operator="greaterThan">
      <formula>0</formula>
    </cfRule>
  </conditionalFormatting>
  <conditionalFormatting sqref="A12">
    <cfRule type="cellIs" dxfId="67" priority="8" stopIfTrue="1" operator="notEqual">
      <formula>0</formula>
    </cfRule>
  </conditionalFormatting>
  <conditionalFormatting sqref="C12">
    <cfRule type="cellIs" dxfId="66" priority="9" stopIfTrue="1" operator="greaterThan">
      <formula>1</formula>
    </cfRule>
    <cfRule type="cellIs" dxfId="65" priority="9" stopIfTrue="1" operator="equal">
      <formula>1</formula>
    </cfRule>
  </conditionalFormatting>
  <conditionalFormatting sqref="K11:K12">
    <cfRule type="cellIs" dxfId="64" priority="10" stopIfTrue="1" operator="equal">
      <formula>0</formula>
    </cfRule>
    <cfRule type="cellIs" dxfId="63" priority="10" stopIfTrue="1" operator="greaterThan">
      <formula>0</formula>
    </cfRule>
  </conditionalFormatting>
  <conditionalFormatting sqref="H46">
    <cfRule type="cellIs" dxfId="62" priority="11" stopIfTrue="1" operator="equal">
      <formula>"&lt;= Supprimer le temps additionnel"</formula>
    </cfRule>
    <cfRule type="cellIs" dxfId="61" priority="11" stopIfTrue="1" operator="equal">
      <formula>"indiquer le temps additionnel"</formula>
    </cfRule>
  </conditionalFormatting>
  <pageMargins left="0.59" right="0.83000000000000007" top="0.90999999999999992" bottom="1" header="0.5" footer="0.5"/>
  <pageSetup paperSize="10" scale="36" orientation="landscape" horizontalDpi="4294967292" verticalDpi="4294967292"/>
  <headerFooter>
    <oddHeader>&amp;C&amp;"Arial,Gras"&amp;22CATALOGUE OBJET, PRODUIT SIMPLE SUR FOND NEUTRE ET PORTRAIT CORPORATE</oddHeader>
    <oddFooter xml:space="preserve">&amp;C© 2017/2019 eric delamarre - Document GPLA </oddFooter>
  </headerFooter>
  <ignoredErrors>
    <ignoredError sqref="K49 J54 G17:I32 F18:F32 C52 H12:I12 J23:K26 J28:K31 J18:K21 E17:E32 B52 G11:I11" emptyCellReference="1"/>
  </ignoredErrors>
  <drawing r:id="rId1"/>
  <extLst>
    <ext xmlns:mx="http://schemas.microsoft.com/office/mac/excel/2008/main" uri="http://schemas.microsoft.com/office/mac/excel/2008/main">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51"/>
  <sheetViews>
    <sheetView showGridLines="0" view="pageLayout" topLeftCell="A17" zoomScale="80" zoomScaleNormal="80" zoomScalePageLayoutView="80" workbookViewId="0">
      <selection activeCell="J30" sqref="J30"/>
    </sheetView>
  </sheetViews>
  <sheetFormatPr baseColWidth="10" defaultRowHeight="18"/>
  <cols>
    <col min="1" max="1" width="5.625" customWidth="1"/>
    <col min="2" max="2" width="25.625" customWidth="1"/>
    <col min="3" max="4" width="13.5" customWidth="1"/>
    <col min="5" max="5" width="14.75" customWidth="1"/>
    <col min="6" max="6" width="15.625" customWidth="1"/>
    <col min="7" max="7" width="14.625" customWidth="1"/>
    <col min="8" max="8" width="14.25" customWidth="1"/>
    <col min="9" max="9" width="14" customWidth="1"/>
    <col min="10" max="10" width="13.5" customWidth="1"/>
    <col min="11" max="11" width="14.75" customWidth="1"/>
    <col min="12" max="12" width="14.625" customWidth="1"/>
    <col min="13" max="13" width="5.625" customWidth="1"/>
    <col min="14" max="14" width="14.75" customWidth="1"/>
    <col min="15" max="15" width="13.25" customWidth="1"/>
    <col min="16" max="16" width="13.5" customWidth="1"/>
    <col min="17" max="17" width="13.125" customWidth="1"/>
    <col min="18" max="18" width="14.375" customWidth="1"/>
    <col min="19" max="19" width="15.5" customWidth="1"/>
  </cols>
  <sheetData>
    <row r="1" spans="1:19" ht="18" customHeight="1" thickTop="1" thickBot="1">
      <c r="A1" s="2530" t="s">
        <v>1101</v>
      </c>
      <c r="B1" s="2531"/>
      <c r="C1" s="2531"/>
      <c r="D1" s="2531"/>
      <c r="E1" s="2531"/>
      <c r="F1" s="2532"/>
      <c r="G1" s="1050">
        <v>1</v>
      </c>
      <c r="H1" s="1050">
        <v>5</v>
      </c>
      <c r="I1" s="1050">
        <v>10</v>
      </c>
      <c r="J1" s="1050">
        <v>50</v>
      </c>
      <c r="K1" s="1050">
        <v>100</v>
      </c>
      <c r="L1" s="1051">
        <v>100</v>
      </c>
      <c r="M1" s="1029"/>
      <c r="N1" s="1052">
        <v>1</v>
      </c>
      <c r="O1" s="1053">
        <v>2</v>
      </c>
      <c r="P1" s="1053">
        <v>3</v>
      </c>
      <c r="Q1" s="1053">
        <v>4</v>
      </c>
      <c r="R1" s="1053">
        <v>5</v>
      </c>
      <c r="S1" s="1054">
        <v>5</v>
      </c>
    </row>
    <row r="2" spans="1:19" ht="45" customHeight="1" thickBot="1">
      <c r="A2" s="2542" t="s">
        <v>1268</v>
      </c>
      <c r="B2" s="2543"/>
      <c r="C2" s="2543"/>
      <c r="D2" s="2543"/>
      <c r="E2" s="2543"/>
      <c r="F2" s="1899">
        <v>0</v>
      </c>
      <c r="G2" s="2540" t="s">
        <v>1262</v>
      </c>
      <c r="H2" s="2540"/>
      <c r="I2" s="2540"/>
      <c r="J2" s="2540"/>
      <c r="K2" s="2540"/>
      <c r="L2" s="2541"/>
      <c r="N2" s="2416" t="s">
        <v>1155</v>
      </c>
      <c r="O2" s="2417"/>
      <c r="P2" s="2417"/>
      <c r="Q2" s="2417"/>
      <c r="R2" s="2417"/>
      <c r="S2" s="2418"/>
    </row>
    <row r="3" spans="1:19" ht="33" customHeight="1" thickTop="1" thickBot="1">
      <c r="A3" s="547"/>
      <c r="B3" s="905" t="s">
        <v>285</v>
      </c>
      <c r="C3" s="530"/>
      <c r="D3" s="530"/>
      <c r="E3" s="530"/>
      <c r="F3" s="548"/>
      <c r="G3" s="1900">
        <f>G4+G4*F2</f>
        <v>50</v>
      </c>
      <c r="H3" s="2465" t="s">
        <v>1265</v>
      </c>
      <c r="I3" s="2465"/>
      <c r="J3" s="2465"/>
      <c r="K3" s="2465"/>
      <c r="L3" s="2466"/>
      <c r="M3" s="36"/>
      <c r="N3" s="2475" t="s">
        <v>816</v>
      </c>
      <c r="O3" s="2476"/>
      <c r="P3" s="2476"/>
      <c r="Q3" s="2476"/>
      <c r="R3" s="2476"/>
      <c r="S3" s="2477"/>
    </row>
    <row r="4" spans="1:19" ht="33" customHeight="1" thickBot="1">
      <c r="A4" s="2419"/>
      <c r="B4" s="2444" t="s">
        <v>217</v>
      </c>
      <c r="C4" s="2445"/>
      <c r="D4" s="2445"/>
      <c r="E4" s="2445"/>
      <c r="F4" s="2445"/>
      <c r="G4" s="1888">
        <v>50</v>
      </c>
      <c r="H4" s="1886">
        <f>G3*2.5</f>
        <v>125</v>
      </c>
      <c r="I4" s="1886">
        <f>G3*4</f>
        <v>200</v>
      </c>
      <c r="J4" s="1886">
        <f>G3*8</f>
        <v>400</v>
      </c>
      <c r="K4" s="1886">
        <f>G3*12</f>
        <v>600</v>
      </c>
      <c r="L4" s="1887">
        <f>G3*16</f>
        <v>800</v>
      </c>
      <c r="M4" s="350"/>
      <c r="N4" s="1889">
        <v>50</v>
      </c>
      <c r="O4" s="766">
        <f>N4*1.8</f>
        <v>90</v>
      </c>
      <c r="P4" s="766">
        <f>N4*2.6</f>
        <v>130</v>
      </c>
      <c r="Q4" s="766">
        <f>N4*3.2</f>
        <v>160</v>
      </c>
      <c r="R4" s="766">
        <f>N4*3.6</f>
        <v>180</v>
      </c>
      <c r="S4" s="767">
        <f>N4*5</f>
        <v>250</v>
      </c>
    </row>
    <row r="5" spans="1:19" ht="33" customHeight="1">
      <c r="A5" s="2420"/>
      <c r="B5" s="2468" t="s">
        <v>178</v>
      </c>
      <c r="C5" s="2469"/>
      <c r="D5" s="2469"/>
      <c r="E5" s="2469"/>
      <c r="F5" s="2469"/>
      <c r="G5" s="764" t="s">
        <v>842</v>
      </c>
      <c r="H5" s="764" t="str">
        <f>"≤ "&amp; H1&amp;" photos"</f>
        <v>≤ 5 photos</v>
      </c>
      <c r="I5" s="764" t="str">
        <f>"≤ "&amp; I1&amp;" photos"</f>
        <v>≤ 10 photos</v>
      </c>
      <c r="J5" s="764" t="str">
        <f>"≤ "&amp; J1&amp;" photos"</f>
        <v>≤ 50 photos</v>
      </c>
      <c r="K5" s="764" t="str">
        <f>"≤ "&amp; K1&amp;" photos"</f>
        <v>≤ 100 photos</v>
      </c>
      <c r="L5" s="765" t="str">
        <f>"&gt; "&amp; L1&amp;" photos"</f>
        <v>&gt; 100 photos</v>
      </c>
      <c r="M5" s="351"/>
      <c r="N5" s="775" t="str">
        <f>N1&amp;" vidéo"</f>
        <v>1 vidéo</v>
      </c>
      <c r="O5" s="764" t="str">
        <f>O1&amp;" vidéos"</f>
        <v>2 vidéos</v>
      </c>
      <c r="P5" s="764" t="str">
        <f>P1&amp;" vidéos"</f>
        <v>3 vidéos</v>
      </c>
      <c r="Q5" s="764" t="str">
        <f>Q1&amp;" vidéos"</f>
        <v>4 vidéos</v>
      </c>
      <c r="R5" s="764" t="str">
        <f>R1&amp;" vidéos"</f>
        <v>5 vidéos</v>
      </c>
      <c r="S5" s="765" t="str">
        <f>"&gt; "&amp; S1&amp;" vidéos"</f>
        <v>&gt; 5 vidéos</v>
      </c>
    </row>
    <row r="6" spans="1:19" ht="17" customHeight="1">
      <c r="A6" s="2420"/>
      <c r="B6" s="2534" t="s">
        <v>621</v>
      </c>
      <c r="C6" s="2535"/>
      <c r="D6" s="2535"/>
      <c r="E6" s="2535"/>
      <c r="F6" s="2536"/>
      <c r="G6" s="1028">
        <f t="shared" ref="G6:L6" si="0">G4/G1</f>
        <v>50</v>
      </c>
      <c r="H6" s="1028">
        <f t="shared" si="0"/>
        <v>25</v>
      </c>
      <c r="I6" s="1028">
        <f t="shared" si="0"/>
        <v>20</v>
      </c>
      <c r="J6" s="1028">
        <f t="shared" si="0"/>
        <v>8</v>
      </c>
      <c r="K6" s="1028">
        <f t="shared" si="0"/>
        <v>6</v>
      </c>
      <c r="L6" s="1047">
        <f t="shared" si="0"/>
        <v>8</v>
      </c>
      <c r="M6" s="350"/>
      <c r="N6" s="1049">
        <f t="shared" ref="N6:S6" si="1">N4/N1</f>
        <v>50</v>
      </c>
      <c r="O6" s="1028">
        <f t="shared" si="1"/>
        <v>45</v>
      </c>
      <c r="P6" s="1028">
        <f t="shared" si="1"/>
        <v>43.333333333333336</v>
      </c>
      <c r="Q6" s="1028">
        <f t="shared" si="1"/>
        <v>40</v>
      </c>
      <c r="R6" s="1028">
        <f t="shared" si="1"/>
        <v>36</v>
      </c>
      <c r="S6" s="1028">
        <f t="shared" si="1"/>
        <v>50</v>
      </c>
    </row>
    <row r="7" spans="1:19" ht="33" customHeight="1">
      <c r="A7" s="2420"/>
      <c r="B7" s="2446" t="s">
        <v>846</v>
      </c>
      <c r="C7" s="2447"/>
      <c r="D7" s="2447"/>
      <c r="E7" s="2447"/>
      <c r="F7" s="2447"/>
      <c r="G7" s="962"/>
      <c r="H7" s="962"/>
      <c r="I7" s="962"/>
      <c r="J7" s="962"/>
      <c r="K7" s="962"/>
      <c r="L7" s="963"/>
      <c r="M7" s="36"/>
      <c r="N7" s="968"/>
      <c r="O7" s="962"/>
      <c r="P7" s="962"/>
      <c r="Q7" s="962"/>
      <c r="R7" s="962"/>
      <c r="S7" s="963"/>
    </row>
    <row r="8" spans="1:19" ht="33" customHeight="1">
      <c r="A8" s="2420"/>
      <c r="B8" s="2470" t="s">
        <v>328</v>
      </c>
      <c r="C8" s="2445"/>
      <c r="D8" s="2445"/>
      <c r="E8" s="2445"/>
      <c r="F8" s="2445"/>
      <c r="G8" s="768" t="s">
        <v>911</v>
      </c>
      <c r="H8" s="768" t="s">
        <v>814</v>
      </c>
      <c r="I8" s="768" t="s">
        <v>245</v>
      </c>
      <c r="J8" s="768" t="s">
        <v>787</v>
      </c>
      <c r="K8" s="768" t="s">
        <v>248</v>
      </c>
      <c r="L8" s="769" t="s">
        <v>452</v>
      </c>
      <c r="M8" s="36"/>
      <c r="N8" s="776" t="s">
        <v>911</v>
      </c>
      <c r="O8" s="768" t="s">
        <v>776</v>
      </c>
      <c r="P8" s="768" t="s">
        <v>245</v>
      </c>
      <c r="Q8" s="768" t="s">
        <v>787</v>
      </c>
      <c r="R8" s="768" t="s">
        <v>248</v>
      </c>
      <c r="S8" s="769" t="s">
        <v>452</v>
      </c>
    </row>
    <row r="9" spans="1:19" ht="33" customHeight="1">
      <c r="A9" s="2420"/>
      <c r="B9" s="2470" t="s">
        <v>800</v>
      </c>
      <c r="C9" s="2445"/>
      <c r="D9" s="2445"/>
      <c r="E9" s="2445"/>
      <c r="F9" s="2445"/>
      <c r="G9" s="770">
        <v>1</v>
      </c>
      <c r="H9" s="770">
        <v>1.3</v>
      </c>
      <c r="I9" s="770">
        <v>1.5</v>
      </c>
      <c r="J9" s="770">
        <v>1.8</v>
      </c>
      <c r="K9" s="770">
        <v>2</v>
      </c>
      <c r="L9" s="771">
        <v>2.5</v>
      </c>
      <c r="M9" s="36"/>
      <c r="N9" s="777">
        <v>1</v>
      </c>
      <c r="O9" s="770">
        <v>1.3</v>
      </c>
      <c r="P9" s="770">
        <v>1.5</v>
      </c>
      <c r="Q9" s="770">
        <v>1.8</v>
      </c>
      <c r="R9" s="770">
        <v>2</v>
      </c>
      <c r="S9" s="771">
        <v>2.5</v>
      </c>
    </row>
    <row r="10" spans="1:19" ht="33" customHeight="1">
      <c r="A10" s="2420"/>
      <c r="B10" s="2446" t="s">
        <v>536</v>
      </c>
      <c r="C10" s="2447"/>
      <c r="D10" s="2447"/>
      <c r="E10" s="2447"/>
      <c r="F10" s="2447"/>
      <c r="G10" s="964"/>
      <c r="H10" s="964"/>
      <c r="I10" s="964"/>
      <c r="J10" s="964"/>
      <c r="K10" s="964"/>
      <c r="L10" s="965"/>
      <c r="M10" s="36"/>
      <c r="N10" s="969"/>
      <c r="O10" s="964"/>
      <c r="P10" s="964"/>
      <c r="Q10" s="964"/>
      <c r="R10" s="964"/>
      <c r="S10" s="965"/>
    </row>
    <row r="11" spans="1:19" ht="45" customHeight="1">
      <c r="A11" s="2420"/>
      <c r="B11" s="2470" t="s">
        <v>968</v>
      </c>
      <c r="C11" s="2445"/>
      <c r="D11" s="2445"/>
      <c r="E11" s="2445"/>
      <c r="F11" s="2445"/>
      <c r="G11" s="763" t="s">
        <v>126</v>
      </c>
      <c r="H11" s="763" t="s">
        <v>308</v>
      </c>
      <c r="I11" s="763" t="s">
        <v>510</v>
      </c>
      <c r="J11" s="763" t="s">
        <v>539</v>
      </c>
      <c r="K11" s="763" t="s">
        <v>715</v>
      </c>
      <c r="L11" s="772" t="s">
        <v>127</v>
      </c>
      <c r="M11" s="36"/>
      <c r="N11" s="778" t="s">
        <v>126</v>
      </c>
      <c r="O11" s="763" t="s">
        <v>308</v>
      </c>
      <c r="P11" s="763" t="s">
        <v>510</v>
      </c>
      <c r="Q11" s="763" t="s">
        <v>539</v>
      </c>
      <c r="R11" s="763" t="s">
        <v>715</v>
      </c>
      <c r="S11" s="772" t="s">
        <v>127</v>
      </c>
    </row>
    <row r="12" spans="1:19" ht="33" customHeight="1">
      <c r="A12" s="2420"/>
      <c r="B12" s="2470" t="s">
        <v>554</v>
      </c>
      <c r="C12" s="2445"/>
      <c r="D12" s="2445"/>
      <c r="E12" s="2445"/>
      <c r="F12" s="2445"/>
      <c r="G12" s="773">
        <v>1</v>
      </c>
      <c r="H12" s="773">
        <v>1.5</v>
      </c>
      <c r="I12" s="773">
        <v>2</v>
      </c>
      <c r="J12" s="773">
        <v>2.5</v>
      </c>
      <c r="K12" s="773">
        <v>3</v>
      </c>
      <c r="L12" s="774">
        <v>4</v>
      </c>
      <c r="M12" s="36"/>
      <c r="N12" s="779">
        <v>1</v>
      </c>
      <c r="O12" s="773">
        <v>1.5</v>
      </c>
      <c r="P12" s="773">
        <v>2</v>
      </c>
      <c r="Q12" s="773">
        <v>2.5</v>
      </c>
      <c r="R12" s="773">
        <v>3</v>
      </c>
      <c r="S12" s="774">
        <v>4</v>
      </c>
    </row>
    <row r="13" spans="1:19" ht="33" customHeight="1" thickBot="1">
      <c r="A13" s="2421"/>
      <c r="B13" s="2471" t="s">
        <v>493</v>
      </c>
      <c r="C13" s="2472"/>
      <c r="D13" s="2472"/>
      <c r="E13" s="2472"/>
      <c r="F13" s="2472"/>
      <c r="G13" s="966"/>
      <c r="H13" s="966"/>
      <c r="I13" s="966"/>
      <c r="J13" s="966"/>
      <c r="K13" s="966"/>
      <c r="L13" s="1048"/>
      <c r="M13" s="36"/>
      <c r="N13" s="970"/>
      <c r="O13" s="966"/>
      <c r="P13" s="966"/>
      <c r="Q13" s="966"/>
      <c r="R13" s="966"/>
      <c r="S13" s="967"/>
    </row>
    <row r="14" spans="1:19" ht="33" customHeight="1" thickTop="1" thickBot="1">
      <c r="A14" s="525"/>
      <c r="B14" s="524"/>
      <c r="C14" s="524"/>
      <c r="D14" s="524"/>
      <c r="E14" s="524"/>
      <c r="F14" s="524"/>
      <c r="G14" s="524"/>
      <c r="H14" s="524"/>
      <c r="I14" s="378"/>
      <c r="J14" s="378"/>
      <c r="K14" s="378"/>
      <c r="L14" s="526"/>
      <c r="M14" s="36"/>
      <c r="N14" s="527"/>
      <c r="O14" s="378"/>
      <c r="P14" s="378"/>
      <c r="Q14" s="378"/>
      <c r="R14" s="528"/>
      <c r="S14" s="529"/>
    </row>
    <row r="15" spans="1:19" ht="45" customHeight="1" thickTop="1" thickBot="1">
      <c r="A15" s="2537" t="s">
        <v>404</v>
      </c>
      <c r="B15" s="2516" t="s">
        <v>1098</v>
      </c>
      <c r="C15" s="2517"/>
      <c r="D15" s="2517"/>
      <c r="E15" s="2517"/>
      <c r="F15" s="667">
        <v>0.3</v>
      </c>
      <c r="G15" s="668" t="s">
        <v>577</v>
      </c>
      <c r="H15" s="1097"/>
      <c r="I15" s="2426" t="s">
        <v>1260</v>
      </c>
      <c r="J15" s="2427"/>
      <c r="K15" s="2427"/>
      <c r="L15" s="2428"/>
      <c r="M15" s="36"/>
      <c r="N15" s="667">
        <v>0.3</v>
      </c>
      <c r="O15" s="972"/>
      <c r="P15" s="2426" t="s">
        <v>1261</v>
      </c>
      <c r="Q15" s="2478"/>
      <c r="R15" s="2478"/>
      <c r="S15" s="2479"/>
    </row>
    <row r="16" spans="1:19" ht="33" customHeight="1" thickBot="1">
      <c r="A16" s="2538"/>
      <c r="B16" s="2436"/>
      <c r="C16" s="2436"/>
      <c r="D16" s="2436"/>
      <c r="E16" s="2436"/>
      <c r="F16" s="2437"/>
      <c r="G16" s="2436"/>
      <c r="H16" s="2436"/>
      <c r="I16" s="2429"/>
      <c r="J16" s="2430"/>
      <c r="K16" s="2430"/>
      <c r="L16" s="2431"/>
      <c r="M16" s="36"/>
      <c r="N16" s="2414" t="s">
        <v>63</v>
      </c>
      <c r="O16" s="2415"/>
      <c r="P16" s="2480"/>
      <c r="Q16" s="2481"/>
      <c r="R16" s="2481"/>
      <c r="S16" s="2482"/>
    </row>
    <row r="17" spans="1:19" ht="45" customHeight="1" thickBot="1">
      <c r="A17" s="2539"/>
      <c r="B17" s="2518" t="s">
        <v>713</v>
      </c>
      <c r="C17" s="2519"/>
      <c r="D17" s="2519"/>
      <c r="E17" s="2519"/>
      <c r="F17" s="667">
        <v>0.3</v>
      </c>
      <c r="G17" s="669" t="s">
        <v>577</v>
      </c>
      <c r="H17" s="971"/>
      <c r="I17" s="2432"/>
      <c r="J17" s="2433"/>
      <c r="K17" s="2433"/>
      <c r="L17" s="2434"/>
      <c r="M17" s="36"/>
      <c r="N17" s="667">
        <v>0.3</v>
      </c>
      <c r="O17" s="972"/>
      <c r="P17" s="2483"/>
      <c r="Q17" s="2484"/>
      <c r="R17" s="2484"/>
      <c r="S17" s="2485"/>
    </row>
    <row r="18" spans="1:19" ht="33" customHeight="1">
      <c r="A18" s="2448" t="s">
        <v>1140</v>
      </c>
      <c r="B18" s="2449"/>
      <c r="C18" s="2449"/>
      <c r="D18" s="2449"/>
      <c r="E18" s="2449"/>
      <c r="F18" s="2449"/>
      <c r="G18" s="2449"/>
      <c r="H18" s="2450"/>
      <c r="I18" s="2474" t="s">
        <v>861</v>
      </c>
      <c r="J18" s="2435" t="s">
        <v>728</v>
      </c>
      <c r="K18" s="2435" t="s">
        <v>223</v>
      </c>
      <c r="L18" s="2438" t="str">
        <f>IF(H15="x",B15,IF(H17="x",B17,"Tarif de base"))</f>
        <v>Tarif de base</v>
      </c>
      <c r="M18" s="36"/>
      <c r="N18" s="2455" t="s">
        <v>163</v>
      </c>
      <c r="O18" s="2456"/>
      <c r="P18" s="2474" t="s">
        <v>335</v>
      </c>
      <c r="Q18" s="2435" t="s">
        <v>728</v>
      </c>
      <c r="R18" s="2435" t="s">
        <v>223</v>
      </c>
      <c r="S18" s="2438" t="str">
        <f>IF(O15="x",B15,IF(O17="x",B17,"Tarif de base"))</f>
        <v>Tarif de base</v>
      </c>
    </row>
    <row r="19" spans="1:19" ht="33" customHeight="1">
      <c r="A19" s="2451"/>
      <c r="B19" s="2452"/>
      <c r="C19" s="2452"/>
      <c r="D19" s="2452"/>
      <c r="E19" s="2452"/>
      <c r="F19" s="2452"/>
      <c r="G19" s="2452"/>
      <c r="H19" s="2453"/>
      <c r="I19" s="2423"/>
      <c r="J19" s="2425"/>
      <c r="K19" s="2425"/>
      <c r="L19" s="2439"/>
      <c r="N19" s="976"/>
      <c r="O19" s="977"/>
      <c r="P19" s="2423"/>
      <c r="Q19" s="2425"/>
      <c r="R19" s="2425"/>
      <c r="S19" s="2439"/>
    </row>
    <row r="20" spans="1:19" ht="33" customHeight="1">
      <c r="A20" s="2451"/>
      <c r="B20" s="2452"/>
      <c r="C20" s="2452"/>
      <c r="D20" s="2452"/>
      <c r="E20" s="2452"/>
      <c r="F20" s="2452"/>
      <c r="G20" s="2452"/>
      <c r="H20" s="2453"/>
      <c r="I20" s="375" t="str">
        <f>IF(G7="x",G5,IF(H7="x",H5,IF(I7="x",I5,IF(J7="x",J5,IF(K7="x",K5,IF(L7="x",L5,""))))))</f>
        <v/>
      </c>
      <c r="J20" s="298" t="str">
        <f>IF(G10="x",G8,IF(H10="x",H8,IF(I10="x",I8,IF(J10="x",J8,IF(K10="x",K8,IF(L10="x",L8,""))))))</f>
        <v/>
      </c>
      <c r="K20" s="299" t="str">
        <f>IF(G13="x",G11,IF(H13="x",H11,IF(I13="x",I11,IF(J13="x",J11,IF(K13="x",K11,IF(L13="x",L11,""))))))</f>
        <v/>
      </c>
      <c r="L20" s="2440"/>
      <c r="M20" s="23"/>
      <c r="N20" s="978"/>
      <c r="O20" s="979"/>
      <c r="P20" s="375" t="str">
        <f>IF(N7="x",N5,IF(O7="x",O5,IF(P7="x",P5,IF(Q7="x",Q5,IF(R7="x",R5,IF(S7="x",S5,""))))))</f>
        <v/>
      </c>
      <c r="Q20" s="298" t="str">
        <f>IF(N10="x",N8,IF(O10="x",O8,IF(P10="x",P8,IF(Q10="x",Q8,IF(R10="x",R8,IF(S10="x",S8,""))))))</f>
        <v/>
      </c>
      <c r="R20" s="299" t="str">
        <f>IF(N13="x",N11,IF(O13="x",O11,IF(P13="x",P11,IF(Q13="x",Q11,IF(R13="x",R11,IF(S13="x",S11,""))))))</f>
        <v/>
      </c>
      <c r="S20" s="2440"/>
    </row>
    <row r="21" spans="1:19" ht="33" customHeight="1" thickBot="1">
      <c r="A21" s="2454"/>
      <c r="B21" s="2452"/>
      <c r="C21" s="2452"/>
      <c r="D21" s="2452"/>
      <c r="E21" s="2452"/>
      <c r="F21" s="2452"/>
      <c r="G21" s="2452"/>
      <c r="H21" s="2453"/>
      <c r="I21" s="2422" t="s">
        <v>522</v>
      </c>
      <c r="J21" s="2424" t="s">
        <v>689</v>
      </c>
      <c r="K21" s="2424" t="s">
        <v>857</v>
      </c>
      <c r="L21" s="2441" t="str">
        <f>IF(H15="x","Autorisé pour des sites tiers",IF(H17="x","Uniquement pour sites à but non lucratif","Sur site du client"))</f>
        <v>Sur site du client</v>
      </c>
      <c r="M21" s="23"/>
      <c r="N21" s="978"/>
      <c r="O21" s="980"/>
      <c r="P21" s="2422" t="s">
        <v>522</v>
      </c>
      <c r="Q21" s="2424" t="s">
        <v>689</v>
      </c>
      <c r="R21" s="2424" t="s">
        <v>857</v>
      </c>
      <c r="S21" s="2441" t="str">
        <f>IF(O15="x","Autorisé pour des sites tiers",IF(O17="x","Uniquement pour sites à but non lucratif","Sur site du client"))</f>
        <v>Sur site du client</v>
      </c>
    </row>
    <row r="22" spans="1:19" ht="33" customHeight="1" thickTop="1">
      <c r="A22" s="30"/>
      <c r="B22" s="2457" t="s">
        <v>140</v>
      </c>
      <c r="C22" s="2458"/>
      <c r="D22" s="2458"/>
      <c r="E22" s="2458"/>
      <c r="F22" s="2458"/>
      <c r="G22" s="2459"/>
      <c r="H22" s="2460"/>
      <c r="I22" s="2533"/>
      <c r="J22" s="2425"/>
      <c r="K22" s="2425"/>
      <c r="L22" s="2442"/>
      <c r="M22" s="23"/>
      <c r="N22" s="978"/>
      <c r="O22" s="980"/>
      <c r="P22" s="2423"/>
      <c r="Q22" s="2425"/>
      <c r="R22" s="2425"/>
      <c r="S22" s="2442"/>
    </row>
    <row r="23" spans="1:19" ht="42" customHeight="1" thickBot="1">
      <c r="A23" s="30"/>
      <c r="B23" s="2461"/>
      <c r="C23" s="2462"/>
      <c r="D23" s="2462"/>
      <c r="E23" s="2462"/>
      <c r="F23" s="2462"/>
      <c r="G23" s="2463"/>
      <c r="H23" s="2464"/>
      <c r="I23" s="1768">
        <f>IF(G7="x",G3,IF(H7="x",H4,IF(I7="x",I4,IF(J7="x",J4,IF(K7="x",K4,IF(L7="x",L4,0))))))</f>
        <v>0</v>
      </c>
      <c r="J23" s="377">
        <f>IF(G10="x",G9,IF(H10="x",H9,IF(I10="x",I9,IF(J10="x",J9,IF(K10="x",K9,IF(L10="x",L9,0))))))</f>
        <v>0</v>
      </c>
      <c r="K23" s="377">
        <f>IF(G13="x",G12,IF(H13="x",H12,IF(I13="x",I12,IF(J13="x",J12,IF(K13="x",K12,IF(L13="x",L12,0))))))</f>
        <v>0</v>
      </c>
      <c r="L23" s="2443"/>
      <c r="M23" s="23"/>
      <c r="N23" s="981"/>
      <c r="O23" s="982"/>
      <c r="P23" s="376">
        <f>IF(N7="x",N4,IF(O7="x",O4,IF(P7="x",P4,IF(Q7="x",Q4,IF(R7="x",R4,IF(S7="x",S4,0))))))</f>
        <v>0</v>
      </c>
      <c r="Q23" s="377">
        <f>IF(N10="x",N9,IF(O10="x",O9,IF(P10="x",P9,IF(Q10="x",Q9,IF(R10="x",R9,IF(S10="x",S9,0))))))</f>
        <v>0</v>
      </c>
      <c r="R23" s="377">
        <f>IF(N13="x",N12,IF(O13="x",O12,IF(P13="x",P12,IF(Q13="x",Q12,IF(R13="x",R12,IF(S13="x",S12,0))))))</f>
        <v>0</v>
      </c>
      <c r="S23" s="2443"/>
    </row>
    <row r="24" spans="1:19" s="36" customFormat="1" ht="57" customHeight="1" thickTop="1" thickBot="1">
      <c r="A24" s="38"/>
      <c r="B24" s="2461"/>
      <c r="C24" s="2462"/>
      <c r="D24" s="2462"/>
      <c r="E24" s="2462"/>
      <c r="F24" s="2462"/>
      <c r="G24" s="2463"/>
      <c r="H24" s="2464"/>
      <c r="I24" s="1773"/>
      <c r="J24" s="1774"/>
      <c r="K24" s="927"/>
      <c r="L24" s="927"/>
      <c r="M24" s="140"/>
      <c r="N24" s="2473" t="s">
        <v>919</v>
      </c>
      <c r="O24" s="2473"/>
      <c r="P24" s="2473"/>
      <c r="Q24" s="2473"/>
      <c r="R24" s="2473"/>
      <c r="S24" s="2473"/>
    </row>
    <row r="25" spans="1:19" ht="47" customHeight="1" thickTop="1" thickBot="1">
      <c r="B25" s="1780"/>
      <c r="C25" s="1781"/>
      <c r="D25" s="1794">
        <f>IF(H15="x",((I23*J23*K23)*1-I27)*F15,0)</f>
        <v>0</v>
      </c>
      <c r="E25" s="1795">
        <f>IF(H17="x",(D25+(I23*J23*K23)*1-I27)*F17,0)</f>
        <v>0</v>
      </c>
      <c r="F25" s="1793"/>
      <c r="G25" s="1775"/>
      <c r="H25" s="381" t="s">
        <v>145</v>
      </c>
      <c r="I25" s="2488" t="s">
        <v>637</v>
      </c>
      <c r="N25" s="2475" t="s">
        <v>928</v>
      </c>
      <c r="O25" s="2476"/>
      <c r="P25" s="2476"/>
      <c r="Q25" s="2476"/>
      <c r="R25" s="2476"/>
      <c r="S25" s="2477"/>
    </row>
    <row r="26" spans="1:19" ht="47" customHeight="1" thickTop="1" thickBot="1">
      <c r="B26" s="2527" t="s">
        <v>1194</v>
      </c>
      <c r="C26" s="2528"/>
      <c r="D26" s="2528"/>
      <c r="E26" s="2528"/>
      <c r="F26" s="2529"/>
      <c r="G26" s="1287">
        <f>IF(F27="x",((I23*J23*K23)-((I23*J23*K23)*I27)+D25-E25)*D27,(I23*J23*K23)-((I23*J23*K23)*I27)+D25-E25)</f>
        <v>0</v>
      </c>
      <c r="H26" s="974"/>
      <c r="I26" s="2489"/>
      <c r="L26" s="2486" t="s">
        <v>1126</v>
      </c>
      <c r="N26" s="2490" t="s">
        <v>773</v>
      </c>
      <c r="O26" s="2491"/>
      <c r="P26" s="510">
        <v>20</v>
      </c>
      <c r="Q26" s="973">
        <v>0</v>
      </c>
      <c r="R26" s="2492" t="s">
        <v>863</v>
      </c>
      <c r="S26" s="2493"/>
    </row>
    <row r="27" spans="1:19" ht="34" customHeight="1" thickTop="1" thickBot="1">
      <c r="B27" s="2522" t="s">
        <v>146</v>
      </c>
      <c r="C27" s="2523"/>
      <c r="D27" s="1769">
        <v>3</v>
      </c>
      <c r="E27" s="1770" t="s">
        <v>32</v>
      </c>
      <c r="F27" s="1771"/>
      <c r="G27" s="1784"/>
      <c r="H27" s="379" t="s">
        <v>786</v>
      </c>
      <c r="I27" s="1416">
        <v>0</v>
      </c>
      <c r="L27" s="2487"/>
      <c r="N27" s="2494" t="s">
        <v>282</v>
      </c>
      <c r="O27" s="2495"/>
      <c r="P27" s="509">
        <v>75</v>
      </c>
      <c r="Q27" s="1289">
        <f>(Q26-P26)/5*Q28+P27</f>
        <v>0</v>
      </c>
      <c r="R27" s="2506" t="s">
        <v>736</v>
      </c>
      <c r="S27" s="2507"/>
    </row>
    <row r="28" spans="1:19" ht="39" customHeight="1" thickBot="1">
      <c r="B28" s="2520" t="s">
        <v>1192</v>
      </c>
      <c r="C28" s="2521"/>
      <c r="D28" s="2521"/>
      <c r="E28" s="2521"/>
      <c r="F28" s="2521"/>
      <c r="G28" s="2521"/>
      <c r="H28" s="109"/>
      <c r="I28" s="109"/>
      <c r="J28" s="1772"/>
      <c r="L28" s="1797" t="s">
        <v>701</v>
      </c>
      <c r="N28" s="2496" t="s">
        <v>991</v>
      </c>
      <c r="O28" s="2497"/>
      <c r="P28" s="511">
        <v>0.25</v>
      </c>
      <c r="Q28" s="1290">
        <f>P27*0.25</f>
        <v>18.75</v>
      </c>
      <c r="R28" s="2504" t="s">
        <v>749</v>
      </c>
      <c r="S28" s="2505"/>
    </row>
    <row r="29" spans="1:19" ht="59" customHeight="1" thickTop="1" thickBot="1">
      <c r="B29" s="1776"/>
      <c r="C29" s="1777"/>
      <c r="D29" s="1796">
        <f>IF(O15="x",((P23*Q23*R23)*1+I31)*N15,0)</f>
        <v>0</v>
      </c>
      <c r="E29" s="1795">
        <f>IF(O17="x",(D29+(P23*Q23*R23)*1-I31)*N17,0)</f>
        <v>0</v>
      </c>
      <c r="F29" s="1777"/>
      <c r="G29" s="1778"/>
      <c r="H29" s="381" t="s">
        <v>145</v>
      </c>
      <c r="I29" s="2525" t="s">
        <v>788</v>
      </c>
      <c r="L29" s="1798" t="s">
        <v>1229</v>
      </c>
      <c r="N29" s="2467" t="s">
        <v>465</v>
      </c>
      <c r="O29" s="2467"/>
      <c r="P29" s="2467"/>
      <c r="Q29" s="2467"/>
      <c r="R29" s="2467"/>
      <c r="S29" s="2467"/>
    </row>
    <row r="30" spans="1:19" ht="46" customHeight="1" thickBot="1">
      <c r="B30" s="2511" t="s">
        <v>1196</v>
      </c>
      <c r="C30" s="2524"/>
      <c r="D30" s="2524"/>
      <c r="E30" s="2524"/>
      <c r="F30" s="2152"/>
      <c r="G30" s="1287">
        <f>(P23*Q23*R23)-((P23*Q23*R23)*I31)+D29-E29</f>
        <v>0</v>
      </c>
      <c r="H30" s="974"/>
      <c r="I30" s="2526"/>
      <c r="L30" s="1799">
        <v>0</v>
      </c>
      <c r="N30" s="2498" t="s">
        <v>761</v>
      </c>
      <c r="O30" s="2499"/>
      <c r="P30" s="2499"/>
      <c r="Q30" s="2499"/>
      <c r="R30" s="2499"/>
      <c r="S30" s="2500"/>
    </row>
    <row r="31" spans="1:19" ht="39" customHeight="1" thickTop="1" thickBot="1">
      <c r="B31" s="1782"/>
      <c r="C31" s="1783"/>
      <c r="D31" s="1783"/>
      <c r="E31" s="1783"/>
      <c r="F31" s="1783"/>
      <c r="G31" s="1779"/>
      <c r="H31" s="380" t="s">
        <v>382</v>
      </c>
      <c r="I31" s="1416">
        <v>0</v>
      </c>
      <c r="L31" s="1288">
        <f>Q27*L30</f>
        <v>0</v>
      </c>
      <c r="N31" s="2501"/>
      <c r="O31" s="2502"/>
      <c r="P31" s="2502"/>
      <c r="Q31" s="2502"/>
      <c r="R31" s="2502"/>
      <c r="S31" s="2503"/>
    </row>
    <row r="32" spans="1:19" ht="33" customHeight="1" thickBot="1">
      <c r="B32" s="9"/>
      <c r="C32" s="9"/>
      <c r="D32" s="9"/>
      <c r="E32" s="9"/>
      <c r="F32" s="9"/>
      <c r="G32" s="9"/>
      <c r="H32" s="2993" t="s">
        <v>1269</v>
      </c>
      <c r="I32" s="2993"/>
      <c r="J32" s="2993"/>
      <c r="L32" s="131"/>
      <c r="N32" s="648"/>
      <c r="O32" s="648"/>
      <c r="P32" s="648"/>
      <c r="Q32" s="648"/>
      <c r="R32" s="648"/>
      <c r="S32" s="648"/>
    </row>
    <row r="33" spans="2:19" ht="39" customHeight="1" thickBot="1">
      <c r="B33" s="1776"/>
      <c r="C33" s="1777"/>
      <c r="D33" s="1777"/>
      <c r="E33" s="1777"/>
      <c r="F33" s="1778"/>
      <c r="G33" s="2514" t="s">
        <v>1241</v>
      </c>
      <c r="H33" s="2515"/>
      <c r="I33" s="1153" t="s">
        <v>573</v>
      </c>
      <c r="J33" s="1154" t="s">
        <v>673</v>
      </c>
      <c r="L33" s="131"/>
      <c r="N33" s="648"/>
      <c r="O33" s="648"/>
      <c r="P33" s="648"/>
      <c r="Q33" s="648"/>
      <c r="R33" s="648"/>
      <c r="S33" s="648"/>
    </row>
    <row r="34" spans="2:19" ht="44" customHeight="1" thickBot="1">
      <c r="B34" s="2511" t="s">
        <v>1052</v>
      </c>
      <c r="C34" s="2512"/>
      <c r="D34" s="2512"/>
      <c r="E34" s="2512"/>
      <c r="F34" s="2512"/>
      <c r="G34" s="2513"/>
      <c r="H34" s="975">
        <v>0</v>
      </c>
      <c r="I34" s="687">
        <v>0.03</v>
      </c>
      <c r="J34" s="1291">
        <f>H34*I34</f>
        <v>0</v>
      </c>
    </row>
    <row r="35" spans="2:19" ht="21" customHeight="1" thickBot="1">
      <c r="B35" s="2508" t="s">
        <v>1099</v>
      </c>
      <c r="C35" s="2509"/>
      <c r="D35" s="2509"/>
      <c r="E35" s="2509"/>
      <c r="F35" s="2509"/>
      <c r="G35" s="2509"/>
      <c r="H35" s="2509"/>
      <c r="I35" s="2509"/>
      <c r="J35" s="2510"/>
    </row>
    <row r="36" spans="2:19" ht="15" customHeight="1"/>
    <row r="37" spans="2:19" ht="21" customHeight="1"/>
    <row r="38" spans="2:19" ht="6" hidden="1" customHeight="1"/>
    <row r="39" spans="2:19" ht="23" customHeight="1"/>
    <row r="40" spans="2:19" ht="22" customHeight="1"/>
    <row r="41" spans="2:19" ht="24" customHeight="1"/>
    <row r="42" spans="2:19" ht="34" customHeight="1"/>
    <row r="43" spans="2:19" ht="23" customHeight="1"/>
    <row r="44" spans="2:19" ht="24" customHeight="1"/>
    <row r="45" spans="2:19" ht="28" customHeight="1"/>
    <row r="46" spans="2:19" ht="16" customHeight="1"/>
    <row r="47" spans="2:19" ht="13" customHeight="1"/>
    <row r="48" spans="2:19" ht="22" customHeight="1"/>
    <row r="49" ht="19" customHeight="1"/>
    <row r="50" ht="55" customHeight="1"/>
    <row r="51" ht="22" customHeight="1"/>
  </sheetData>
  <mergeCells count="64">
    <mergeCell ref="A1:F1"/>
    <mergeCell ref="K21:K22"/>
    <mergeCell ref="I21:I22"/>
    <mergeCell ref="J21:J22"/>
    <mergeCell ref="B6:F6"/>
    <mergeCell ref="A15:A17"/>
    <mergeCell ref="G2:L2"/>
    <mergeCell ref="A2:E2"/>
    <mergeCell ref="B9:F9"/>
    <mergeCell ref="B15:E15"/>
    <mergeCell ref="J18:J19"/>
    <mergeCell ref="B17:E17"/>
    <mergeCell ref="B28:G28"/>
    <mergeCell ref="B27:C27"/>
    <mergeCell ref="B26:F26"/>
    <mergeCell ref="I18:I19"/>
    <mergeCell ref="N28:O28"/>
    <mergeCell ref="N30:S31"/>
    <mergeCell ref="R28:S28"/>
    <mergeCell ref="R27:S27"/>
    <mergeCell ref="B35:J35"/>
    <mergeCell ref="B34:G34"/>
    <mergeCell ref="G33:H33"/>
    <mergeCell ref="B30:F30"/>
    <mergeCell ref="I29:I30"/>
    <mergeCell ref="H32:J32"/>
    <mergeCell ref="L26:L27"/>
    <mergeCell ref="I25:I26"/>
    <mergeCell ref="N25:S25"/>
    <mergeCell ref="N26:O26"/>
    <mergeCell ref="R26:S26"/>
    <mergeCell ref="N27:O27"/>
    <mergeCell ref="R18:R19"/>
    <mergeCell ref="B22:H24"/>
    <mergeCell ref="H3:L3"/>
    <mergeCell ref="N29:S29"/>
    <mergeCell ref="L21:L23"/>
    <mergeCell ref="B5:F5"/>
    <mergeCell ref="B7:F7"/>
    <mergeCell ref="B8:F8"/>
    <mergeCell ref="B12:F12"/>
    <mergeCell ref="B13:F13"/>
    <mergeCell ref="B11:F11"/>
    <mergeCell ref="N24:S24"/>
    <mergeCell ref="P18:P19"/>
    <mergeCell ref="N3:S3"/>
    <mergeCell ref="P15:S17"/>
    <mergeCell ref="S18:S20"/>
    <mergeCell ref="N16:O16"/>
    <mergeCell ref="N2:S2"/>
    <mergeCell ref="A4:A13"/>
    <mergeCell ref="P21:P22"/>
    <mergeCell ref="Q21:Q22"/>
    <mergeCell ref="I15:L17"/>
    <mergeCell ref="K18:K19"/>
    <mergeCell ref="B16:H16"/>
    <mergeCell ref="Q18:Q19"/>
    <mergeCell ref="L18:L20"/>
    <mergeCell ref="R21:R22"/>
    <mergeCell ref="S21:S23"/>
    <mergeCell ref="B4:F4"/>
    <mergeCell ref="B10:F10"/>
    <mergeCell ref="A18:H21"/>
    <mergeCell ref="N18:O18"/>
  </mergeCells>
  <phoneticPr fontId="50" type="noConversion"/>
  <conditionalFormatting sqref="J33 J28">
    <cfRule type="cellIs" dxfId="59" priority="3" stopIfTrue="1" operator="equal">
      <formula>0</formula>
    </cfRule>
  </conditionalFormatting>
  <conditionalFormatting sqref="G7:L7 G10:L10 G13:L13 N7:S7 N10:S10 N13:S13 H15 H17 O15 O17">
    <cfRule type="cellIs" dxfId="58" priority="4" stopIfTrue="1" operator="equal">
      <formula>"x"</formula>
    </cfRule>
  </conditionalFormatting>
  <conditionalFormatting sqref="Q26 H26 H30 H34 I27 I31">
    <cfRule type="cellIs" dxfId="57" priority="5" stopIfTrue="1" operator="greaterThan">
      <formula>0</formula>
    </cfRule>
  </conditionalFormatting>
  <conditionalFormatting sqref="G3">
    <cfRule type="colorScale" priority="2">
      <colorScale>
        <cfvo type="formula" val="&quot;g4=g3&quot;"/>
        <cfvo type="formula" val="&quot;g4&lt;g3&quot;"/>
        <color rgb="FFFFFF00"/>
        <color theme="8" tint="-0.249977111117893"/>
      </colorScale>
    </cfRule>
  </conditionalFormatting>
  <conditionalFormatting sqref="G4">
    <cfRule type="colorScale" priority="1">
      <colorScale>
        <cfvo type="formula" val="&quot;g4=g3&quot;"/>
        <cfvo type="formula" val="&quot;g4&lt;g3&quot;"/>
        <color rgb="FFFFFF00"/>
        <color theme="8" tint="-0.249977111117893"/>
      </colorScale>
    </cfRule>
  </conditionalFormatting>
  <printOptions horizontalCentered="1" verticalCentered="1"/>
  <pageMargins left="1.308888888888889" right="0.38333333333333336" top="0.73111111111111116" bottom="0.96000000000000008" header="0.5" footer="0.58925925925925926"/>
  <pageSetup paperSize="10" scale="33" orientation="landscape" horizontalDpi="4294967292" verticalDpi="4294967292"/>
  <headerFooter>
    <oddHeader>&amp;C&amp;"Arial,Gras"&amp;18PROPOSITION DE CALCUL POUR UNE REMUNERATION FORFAITAIRE DES DROITS D'UTILISATION POUR LES PHOTOS ET LES VIDEOS&amp;R_x000D_</oddHeader>
    <oddFooter>&amp;C© 2017/2019 - Gpla/eric delamarre - Communication à des tiers interdite - Ceci n'est pas un barème officiel _x000D_</oddFooter>
  </headerFooter>
  <ignoredErrors>
    <ignoredError sqref="I22 J22:K23 J19:K20 I19:I20 I18 I21 J18:K18 S18:S20 L19:L20 L22:L23 L24:L25 L18 G29 S22:S23 J21:K21 N21:N23 O18:O19 Q18:Q23 M26 R18:R23 P19:P23 O21:O23 N19 M18:M25" emptyCellReference="1"/>
  </ignoredErrors>
  <extLst>
    <ext xmlns:mx="http://schemas.microsoft.com/office/mac/excel/2008/main" uri="http://schemas.microsoft.com/office/mac/excel/2008/main">
      <mx:PLV Mode="1"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Feuilles de calcul</vt:lpstr>
      </vt:variant>
      <vt:variant>
        <vt:i4>23</vt:i4>
      </vt:variant>
      <vt:variant>
        <vt:lpstr>Plages nommées</vt:lpstr>
      </vt:variant>
      <vt:variant>
        <vt:i4>12</vt:i4>
      </vt:variant>
    </vt:vector>
  </HeadingPairs>
  <TitlesOfParts>
    <vt:vector size="35" baseType="lpstr">
      <vt:lpstr>A Lire</vt:lpstr>
      <vt:lpstr>Base clients</vt:lpstr>
      <vt:lpstr>Votre profil</vt:lpstr>
      <vt:lpstr>Devis-Fact</vt:lpstr>
      <vt:lpstr>Facture d'acompte</vt:lpstr>
      <vt:lpstr>Annexe CGV</vt:lpstr>
      <vt:lpstr>Temps passé</vt:lpstr>
      <vt:lpstr>Portraits corpo &amp; catal objets</vt:lpstr>
      <vt:lpstr>Droit web photo video</vt:lpstr>
      <vt:lpstr>Droits print &amp; expo </vt:lpstr>
      <vt:lpstr>Droit dossier de presse</vt:lpstr>
      <vt:lpstr>Droits commande publicité</vt:lpstr>
      <vt:lpstr>Droit packaging</vt:lpstr>
      <vt:lpstr>Liste frais</vt:lpstr>
      <vt:lpstr>Frais de déplacement</vt:lpstr>
      <vt:lpstr>Equipe et Location</vt:lpstr>
      <vt:lpstr>Evaluation loc. studio</vt:lpstr>
      <vt:lpstr>Fiche de prod</vt:lpstr>
      <vt:lpstr>Retro-Planning</vt:lpstr>
      <vt:lpstr>Graphique Devis</vt:lpstr>
      <vt:lpstr>Bareme mannequin</vt:lpstr>
      <vt:lpstr>Calcul intérêt de retard</vt:lpstr>
      <vt:lpstr>Feuil1</vt:lpstr>
      <vt:lpstr>'Calcul intérêt de retard'!comments</vt:lpstr>
      <vt:lpstr>DExpo</vt:lpstr>
      <vt:lpstr>DPrint</vt:lpstr>
      <vt:lpstr>DPrintTot</vt:lpstr>
      <vt:lpstr>FdeFrais</vt:lpstr>
      <vt:lpstr>imprevus</vt:lpstr>
      <vt:lpstr>Prix_moyen___pdv</vt:lpstr>
      <vt:lpstr>PrixPort</vt:lpstr>
      <vt:lpstr>PrixProd</vt:lpstr>
      <vt:lpstr>RemPort</vt:lpstr>
      <vt:lpstr>RemProd</vt:lpstr>
      <vt:lpstr>TpsDet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cp:revision>0</cp:revision>
  <cp:lastPrinted>2020-06-09T06:53:34Z</cp:lastPrinted>
  <dcterms:created xsi:type="dcterms:W3CDTF">2011-12-03T19:00:46Z</dcterms:created>
  <dcterms:modified xsi:type="dcterms:W3CDTF">2022-03-29T11:43:30Z</dcterms:modified>
</cp:coreProperties>
</file>